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efaultThemeVersion="153222"/>
  <mc:AlternateContent xmlns:mc="http://schemas.openxmlformats.org/markup-compatibility/2006">
    <mc:Choice Requires="x15">
      <x15ac:absPath xmlns:x15ac="http://schemas.microsoft.com/office/spreadsheetml/2010/11/ac" url="\\fs2\aypsecure$\2015-2016\Calculator\"/>
    </mc:Choice>
  </mc:AlternateContent>
  <bookViews>
    <workbookView xWindow="0" yWindow="0" windowWidth="19760" windowHeight="11730" tabRatio="852"/>
  </bookViews>
  <sheets>
    <sheet name="Instructions" sheetId="2" r:id="rId1"/>
    <sheet name="ES - Scoring" sheetId="1" r:id="rId2"/>
    <sheet name="ES - Detail" sheetId="3" r:id="rId3"/>
    <sheet name="MS - Scoring" sheetId="4" r:id="rId4"/>
    <sheet name="MS - Detail" sheetId="5" r:id="rId5"/>
    <sheet name="HS - Scoring" sheetId="6" r:id="rId6"/>
    <sheet name="HS - Detail" sheetId="7"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1" l="1"/>
  <c r="H49" i="1" s="1"/>
  <c r="K50" i="1"/>
  <c r="H50" i="1" s="1"/>
  <c r="K51" i="1"/>
  <c r="H51" i="1" s="1"/>
  <c r="K52" i="1"/>
  <c r="H52" i="1" s="1"/>
  <c r="K69" i="7" l="1"/>
  <c r="K68" i="7"/>
  <c r="K67" i="7"/>
  <c r="K66" i="7"/>
  <c r="K51" i="5"/>
  <c r="K50" i="5"/>
  <c r="K49" i="5"/>
  <c r="K48" i="5"/>
  <c r="K53" i="3"/>
  <c r="K52" i="3"/>
  <c r="K51" i="3"/>
  <c r="K50" i="3"/>
  <c r="E79" i="3" l="1"/>
  <c r="E71" i="3"/>
  <c r="K81" i="1" s="1"/>
  <c r="M81" i="1" s="1"/>
  <c r="K58" i="6" l="1"/>
  <c r="K57" i="6"/>
  <c r="K56" i="6"/>
  <c r="K55" i="6"/>
  <c r="K51" i="4"/>
  <c r="K50" i="4"/>
  <c r="K49" i="4"/>
  <c r="E107" i="7" l="1"/>
  <c r="K92" i="6" s="1"/>
  <c r="M92" i="6" s="1"/>
  <c r="E103" i="7"/>
  <c r="K91" i="6" s="1"/>
  <c r="M91" i="6" s="1"/>
  <c r="E99" i="7"/>
  <c r="K90" i="6" s="1"/>
  <c r="M90" i="6" s="1"/>
  <c r="D95" i="7"/>
  <c r="K89" i="6" s="1"/>
  <c r="M89" i="6" s="1"/>
  <c r="E91" i="7"/>
  <c r="K88" i="6" s="1"/>
  <c r="M88" i="6" s="1"/>
  <c r="E83" i="7"/>
  <c r="K86" i="6" s="1"/>
  <c r="M86" i="6" s="1"/>
  <c r="E55" i="7"/>
  <c r="J41" i="6" s="1"/>
  <c r="M41" i="6" s="1"/>
  <c r="E51" i="7"/>
  <c r="J40" i="6" s="1"/>
  <c r="M40" i="6" s="1"/>
  <c r="L42" i="7"/>
  <c r="K42" i="7"/>
  <c r="E34" i="7"/>
  <c r="J32" i="6" s="1"/>
  <c r="E30" i="7"/>
  <c r="J31" i="6" s="1"/>
  <c r="E18" i="7"/>
  <c r="G18" i="7" s="1"/>
  <c r="M42" i="6" l="1"/>
  <c r="L41" i="6"/>
  <c r="M42" i="7"/>
  <c r="J33" i="6" s="1"/>
  <c r="M33" i="6" s="1"/>
  <c r="L33" i="6" s="1"/>
  <c r="M32" i="6"/>
  <c r="L32" i="6" s="1"/>
  <c r="K31" i="6"/>
  <c r="M31" i="6" s="1"/>
  <c r="L31" i="6" s="1"/>
  <c r="K12" i="7"/>
  <c r="L12" i="7" s="1"/>
  <c r="J21" i="6" s="1"/>
  <c r="E12" i="7"/>
  <c r="H21" i="6" s="1"/>
  <c r="K11" i="7"/>
  <c r="L11" i="7" s="1"/>
  <c r="J20" i="6" s="1"/>
  <c r="M20" i="6" s="1"/>
  <c r="L20" i="6" s="1"/>
  <c r="E11" i="7"/>
  <c r="H20" i="6" s="1"/>
  <c r="K10" i="7"/>
  <c r="L10" i="7" s="1"/>
  <c r="J19" i="6" s="1"/>
  <c r="M19" i="6" s="1"/>
  <c r="L19" i="6" s="1"/>
  <c r="E10" i="7"/>
  <c r="H19" i="6" s="1"/>
  <c r="K9" i="7"/>
  <c r="L9" i="7" s="1"/>
  <c r="J18" i="6" s="1"/>
  <c r="M18" i="6" s="1"/>
  <c r="L18" i="6" s="1"/>
  <c r="E9" i="7"/>
  <c r="H18" i="6" s="1"/>
  <c r="D119" i="7"/>
  <c r="D115" i="7"/>
  <c r="D111" i="7"/>
  <c r="E87" i="7"/>
  <c r="K87" i="6" s="1"/>
  <c r="M87" i="6" s="1"/>
  <c r="D78" i="7"/>
  <c r="D79" i="6" s="1"/>
  <c r="C78" i="7"/>
  <c r="A79" i="6" s="1"/>
  <c r="F79" i="6" s="1"/>
  <c r="H71" i="6"/>
  <c r="G69" i="7"/>
  <c r="H70" i="6"/>
  <c r="G68" i="7"/>
  <c r="H69" i="6"/>
  <c r="G67" i="7"/>
  <c r="H68" i="6"/>
  <c r="G66" i="7"/>
  <c r="E46" i="7"/>
  <c r="J34" i="6" s="1"/>
  <c r="K34" i="6" s="1"/>
  <c r="M34" i="6" s="1"/>
  <c r="L34" i="6" s="1"/>
  <c r="E26" i="7"/>
  <c r="E22" i="7"/>
  <c r="J29" i="6" s="1"/>
  <c r="K29" i="6" s="1"/>
  <c r="M29" i="6" s="1"/>
  <c r="L29" i="6" s="1"/>
  <c r="J28" i="6"/>
  <c r="M28" i="6" s="1"/>
  <c r="L28" i="6" s="1"/>
  <c r="K13" i="7"/>
  <c r="L13" i="7" s="1"/>
  <c r="J22" i="6" s="1"/>
  <c r="E13" i="7"/>
  <c r="H22" i="6" s="1"/>
  <c r="K8" i="7"/>
  <c r="L8" i="7" s="1"/>
  <c r="J17" i="6" s="1"/>
  <c r="E8" i="7"/>
  <c r="H17" i="6" s="1"/>
  <c r="K7" i="7"/>
  <c r="L7" i="7" s="1"/>
  <c r="J16" i="6" s="1"/>
  <c r="E7" i="7"/>
  <c r="H16" i="6" s="1"/>
  <c r="K6" i="7"/>
  <c r="L6" i="7" s="1"/>
  <c r="J15" i="6" s="1"/>
  <c r="E6" i="7"/>
  <c r="H15" i="6" s="1"/>
  <c r="D81" i="6"/>
  <c r="A81" i="6"/>
  <c r="H58" i="6"/>
  <c r="H57" i="6"/>
  <c r="H56" i="6"/>
  <c r="H55" i="6"/>
  <c r="H67" i="7" l="1"/>
  <c r="F69" i="6" s="1"/>
  <c r="J69" i="6" s="1"/>
  <c r="L69" i="6" s="1"/>
  <c r="F71" i="6"/>
  <c r="J71" i="6" s="1"/>
  <c r="L71" i="6" s="1"/>
  <c r="H69" i="7"/>
  <c r="H68" i="7"/>
  <c r="F70" i="6" s="1"/>
  <c r="J70" i="6" s="1"/>
  <c r="L70" i="6" s="1"/>
  <c r="F68" i="6"/>
  <c r="J68" i="6" s="1"/>
  <c r="H66" i="7"/>
  <c r="K95" i="6"/>
  <c r="M95" i="6" s="1"/>
  <c r="K94" i="6"/>
  <c r="M94" i="6" s="1"/>
  <c r="K93" i="6"/>
  <c r="M93" i="6" s="1"/>
  <c r="J30" i="6"/>
  <c r="K30" i="6" s="1"/>
  <c r="M30" i="6" s="1"/>
  <c r="M22" i="6"/>
  <c r="L22" i="6" s="1"/>
  <c r="M16" i="6"/>
  <c r="L16" i="6" s="1"/>
  <c r="M15" i="6"/>
  <c r="L15" i="6" s="1"/>
  <c r="F81" i="6"/>
  <c r="M17" i="6"/>
  <c r="L17" i="6" s="1"/>
  <c r="M21" i="6"/>
  <c r="L21" i="6" s="1"/>
  <c r="K79" i="6"/>
  <c r="H59" i="6"/>
  <c r="K59" i="6"/>
  <c r="E69" i="5"/>
  <c r="K80" i="4" s="1"/>
  <c r="M80" i="4" s="1"/>
  <c r="E65" i="5"/>
  <c r="E26" i="5"/>
  <c r="D85" i="5"/>
  <c r="K84" i="4" s="1"/>
  <c r="M84" i="4" s="1"/>
  <c r="D81" i="5"/>
  <c r="K83" i="4" s="1"/>
  <c r="M83" i="4" s="1"/>
  <c r="D77" i="5"/>
  <c r="K82" i="4" s="1"/>
  <c r="M82" i="4" s="1"/>
  <c r="D73" i="5"/>
  <c r="K81" i="4" s="1"/>
  <c r="M81" i="4" s="1"/>
  <c r="D60" i="5"/>
  <c r="D72" i="4" s="1"/>
  <c r="C60" i="5"/>
  <c r="A72" i="4" s="1"/>
  <c r="F72" i="4" s="1"/>
  <c r="H64" i="4"/>
  <c r="G51" i="5"/>
  <c r="H63" i="4"/>
  <c r="G50" i="5"/>
  <c r="H62" i="4"/>
  <c r="G49" i="5"/>
  <c r="H61" i="4"/>
  <c r="G48" i="5"/>
  <c r="L36" i="5"/>
  <c r="K36" i="5"/>
  <c r="E30" i="5"/>
  <c r="J28" i="4" s="1"/>
  <c r="K28" i="4" s="1"/>
  <c r="M28" i="4" s="1"/>
  <c r="L28" i="4" s="1"/>
  <c r="F22" i="5"/>
  <c r="J26" i="4" s="1"/>
  <c r="M26" i="4" s="1"/>
  <c r="L26" i="4" s="1"/>
  <c r="E18" i="5"/>
  <c r="J25" i="4" s="1"/>
  <c r="K25" i="4" s="1"/>
  <c r="M25" i="4" s="1"/>
  <c r="L25" i="4" s="1"/>
  <c r="E14" i="5"/>
  <c r="J24" i="4" s="1"/>
  <c r="K24" i="4" s="1"/>
  <c r="M24" i="4" s="1"/>
  <c r="K9" i="5"/>
  <c r="L9" i="5" s="1"/>
  <c r="J18" i="4" s="1"/>
  <c r="M18" i="4" s="1"/>
  <c r="L18" i="4" s="1"/>
  <c r="E9" i="5"/>
  <c r="H18" i="4" s="1"/>
  <c r="K8" i="5"/>
  <c r="L8" i="5" s="1"/>
  <c r="J17" i="4" s="1"/>
  <c r="M17" i="4" s="1"/>
  <c r="L17" i="4" s="1"/>
  <c r="E8" i="5"/>
  <c r="H17" i="4" s="1"/>
  <c r="K7" i="5"/>
  <c r="L7" i="5" s="1"/>
  <c r="J16" i="4" s="1"/>
  <c r="M16" i="4" s="1"/>
  <c r="L16" i="4" s="1"/>
  <c r="E7" i="5"/>
  <c r="H16" i="4" s="1"/>
  <c r="K6" i="5"/>
  <c r="L6" i="5" s="1"/>
  <c r="J15" i="4" s="1"/>
  <c r="M15" i="4" s="1"/>
  <c r="E6" i="5"/>
  <c r="H15" i="4" s="1"/>
  <c r="D74" i="4"/>
  <c r="A74" i="4"/>
  <c r="H51" i="4"/>
  <c r="H50" i="4"/>
  <c r="H49" i="4"/>
  <c r="J72" i="6" l="1"/>
  <c r="L68" i="6"/>
  <c r="L72" i="6" s="1"/>
  <c r="F62" i="4"/>
  <c r="J62" i="4" s="1"/>
  <c r="L62" i="4" s="1"/>
  <c r="H49" i="5"/>
  <c r="H51" i="5"/>
  <c r="F64" i="4" s="1"/>
  <c r="J64" i="4" s="1"/>
  <c r="L64" i="4" s="1"/>
  <c r="F61" i="4"/>
  <c r="J61" i="4" s="1"/>
  <c r="H48" i="5"/>
  <c r="H50" i="5"/>
  <c r="F63" i="4" s="1"/>
  <c r="J63" i="4" s="1"/>
  <c r="L63" i="4" s="1"/>
  <c r="G65" i="5"/>
  <c r="K79" i="4" s="1"/>
  <c r="M96" i="6"/>
  <c r="I10" i="6" s="1"/>
  <c r="L30" i="6"/>
  <c r="L35" i="6" s="1"/>
  <c r="M35" i="6"/>
  <c r="H82" i="6"/>
  <c r="H10" i="6" s="1"/>
  <c r="L23" i="6"/>
  <c r="M23" i="6"/>
  <c r="H60" i="6"/>
  <c r="J27" i="4"/>
  <c r="M27" i="4" s="1"/>
  <c r="L27" i="4" s="1"/>
  <c r="F74" i="4"/>
  <c r="K72" i="4"/>
  <c r="H52" i="4"/>
  <c r="M36" i="5"/>
  <c r="J34" i="4" s="1"/>
  <c r="M34" i="4" s="1"/>
  <c r="L34" i="4" s="1"/>
  <c r="L35" i="4" s="1"/>
  <c r="M19" i="4"/>
  <c r="L15" i="4"/>
  <c r="L19" i="4" s="1"/>
  <c r="L24" i="4"/>
  <c r="K52" i="4"/>
  <c r="J65" i="4" l="1"/>
  <c r="L61" i="4"/>
  <c r="L65" i="4" s="1"/>
  <c r="H64" i="6"/>
  <c r="D10" i="6" s="1"/>
  <c r="H62" i="6"/>
  <c r="M85" i="4"/>
  <c r="I10" i="4" s="1"/>
  <c r="M79" i="4"/>
  <c r="H75" i="4"/>
  <c r="H10" i="4" s="1"/>
  <c r="H11" i="4" s="1"/>
  <c r="H11" i="6"/>
  <c r="L36" i="6"/>
  <c r="L38" i="6" s="1"/>
  <c r="L48" i="6" s="1"/>
  <c r="L24" i="6"/>
  <c r="L26" i="6" s="1"/>
  <c r="L47" i="6" s="1"/>
  <c r="H63" i="6"/>
  <c r="F73" i="6"/>
  <c r="F74" i="6" s="1"/>
  <c r="L20" i="4"/>
  <c r="L22" i="4" s="1"/>
  <c r="L40" i="4" s="1"/>
  <c r="H53" i="4"/>
  <c r="L29" i="4"/>
  <c r="M29" i="4"/>
  <c r="M35" i="4"/>
  <c r="L36" i="4" s="1"/>
  <c r="L38" i="4" s="1"/>
  <c r="L42" i="4" s="1"/>
  <c r="H53" i="1"/>
  <c r="K53" i="1"/>
  <c r="A75" i="1"/>
  <c r="H55" i="4" l="1"/>
  <c r="H56" i="4" s="1"/>
  <c r="F75" i="6"/>
  <c r="F10" i="6" s="1"/>
  <c r="L30" i="4"/>
  <c r="L32" i="4" s="1"/>
  <c r="L41" i="4" s="1"/>
  <c r="L43" i="4" s="1"/>
  <c r="L44" i="4" s="1"/>
  <c r="A10" i="4" s="1"/>
  <c r="F66" i="4"/>
  <c r="F67" i="4" s="1"/>
  <c r="D75" i="1"/>
  <c r="F75" i="1" s="1"/>
  <c r="H57" i="4" l="1"/>
  <c r="D10" i="4" s="1"/>
  <c r="F68" i="4"/>
  <c r="F10" i="4" s="1"/>
  <c r="A6" i="4" s="1"/>
  <c r="D91" i="3"/>
  <c r="K86" i="1" s="1"/>
  <c r="M86" i="1" s="1"/>
  <c r="D87" i="3"/>
  <c r="K85" i="1" s="1"/>
  <c r="M85" i="1" s="1"/>
  <c r="D83" i="3"/>
  <c r="K84" i="1" s="1"/>
  <c r="M84" i="1" s="1"/>
  <c r="D75" i="3"/>
  <c r="K83" i="1"/>
  <c r="M83" i="1" s="1"/>
  <c r="E67" i="3"/>
  <c r="K80" i="1" s="1"/>
  <c r="M80" i="1" s="1"/>
  <c r="E32" i="3"/>
  <c r="J29" i="1" s="1"/>
  <c r="K29" i="1" s="1"/>
  <c r="M29" i="1" s="1"/>
  <c r="F24" i="3"/>
  <c r="J27" i="1" s="1"/>
  <c r="M27" i="1" s="1"/>
  <c r="F22" i="3"/>
  <c r="J26" i="1" s="1"/>
  <c r="M26" i="1" s="1"/>
  <c r="E18" i="3"/>
  <c r="J25" i="1" s="1"/>
  <c r="K25" i="1" s="1"/>
  <c r="M25" i="1" s="1"/>
  <c r="E14" i="3"/>
  <c r="J24" i="1" s="1"/>
  <c r="K24" i="1" s="1"/>
  <c r="H63" i="1"/>
  <c r="H64" i="1"/>
  <c r="H65" i="1"/>
  <c r="H62" i="1"/>
  <c r="G51" i="3"/>
  <c r="G52" i="3"/>
  <c r="G53" i="3"/>
  <c r="G50" i="3"/>
  <c r="E7" i="3"/>
  <c r="E8" i="3"/>
  <c r="E9" i="3"/>
  <c r="E6" i="3"/>
  <c r="H51" i="3" l="1"/>
  <c r="F63" i="1" s="1"/>
  <c r="J63" i="1" s="1"/>
  <c r="L63" i="1" s="1"/>
  <c r="H52" i="3"/>
  <c r="F64" i="1" s="1"/>
  <c r="J64" i="1" s="1"/>
  <c r="L64" i="1" s="1"/>
  <c r="H53" i="3"/>
  <c r="F65" i="1" s="1"/>
  <c r="J65" i="1" s="1"/>
  <c r="L65" i="1" s="1"/>
  <c r="H50" i="3"/>
  <c r="F62" i="1" s="1"/>
  <c r="J62" i="1" s="1"/>
  <c r="K82" i="1"/>
  <c r="M82" i="1" s="1"/>
  <c r="D62" i="3"/>
  <c r="D73" i="1" s="1"/>
  <c r="C62" i="3"/>
  <c r="L38" i="3"/>
  <c r="K38" i="3"/>
  <c r="M38" i="3" s="1"/>
  <c r="J35" i="1" s="1"/>
  <c r="M35" i="1" s="1"/>
  <c r="L29" i="1"/>
  <c r="H28" i="3"/>
  <c r="G28" i="3"/>
  <c r="L27" i="1"/>
  <c r="L26" i="1"/>
  <c r="M24" i="1"/>
  <c r="H18" i="1"/>
  <c r="H17" i="1"/>
  <c r="H16" i="1"/>
  <c r="H15" i="1"/>
  <c r="L62" i="1" l="1"/>
  <c r="L66" i="1" s="1"/>
  <c r="J66" i="1"/>
  <c r="A73" i="1"/>
  <c r="I28" i="3"/>
  <c r="J28" i="1" s="1"/>
  <c r="M28" i="1" s="1"/>
  <c r="L28" i="1" s="1"/>
  <c r="L24" i="1"/>
  <c r="L25" i="1"/>
  <c r="K7" i="3"/>
  <c r="K8" i="3"/>
  <c r="K9" i="3"/>
  <c r="L9" i="3" s="1"/>
  <c r="K6" i="3"/>
  <c r="F73" i="1" l="1"/>
  <c r="K73" i="1" s="1"/>
  <c r="H76" i="1" s="1"/>
  <c r="J18" i="1"/>
  <c r="M18" i="1" s="1"/>
  <c r="L18" i="1" s="1"/>
  <c r="L6" i="3"/>
  <c r="M36" i="1"/>
  <c r="L35" i="1"/>
  <c r="L36" i="1" s="1"/>
  <c r="L30" i="1"/>
  <c r="M30" i="1"/>
  <c r="L8" i="3"/>
  <c r="L7" i="3"/>
  <c r="J16" i="1" s="1"/>
  <c r="M16" i="1" s="1"/>
  <c r="J17" i="1" l="1"/>
  <c r="M17" i="1" s="1"/>
  <c r="L17" i="1" s="1"/>
  <c r="J15" i="1"/>
  <c r="M15" i="1" s="1"/>
  <c r="L15" i="1" s="1"/>
  <c r="F67" i="1"/>
  <c r="F69" i="1" s="1"/>
  <c r="H54" i="1"/>
  <c r="H56" i="1" s="1"/>
  <c r="L37" i="1"/>
  <c r="L39" i="1" s="1"/>
  <c r="L43" i="1" s="1"/>
  <c r="L31" i="1"/>
  <c r="L33" i="1" s="1"/>
  <c r="L42" i="1" s="1"/>
  <c r="L16" i="1"/>
  <c r="H10" i="1"/>
  <c r="M87" i="1"/>
  <c r="I10" i="1" s="1"/>
  <c r="H58" i="1" l="1"/>
  <c r="D10" i="1" s="1"/>
  <c r="M19" i="1"/>
  <c r="L19" i="1"/>
  <c r="H11" i="1"/>
  <c r="F10" i="1"/>
  <c r="F68" i="1"/>
  <c r="H57" i="1" l="1"/>
  <c r="L20" i="1"/>
  <c r="L22" i="1" s="1"/>
  <c r="L41" i="1" s="1"/>
  <c r="L44" i="1" s="1"/>
  <c r="L45" i="1" s="1"/>
  <c r="A10" i="1" l="1"/>
  <c r="A6" i="1" s="1"/>
  <c r="L40" i="6" l="1"/>
  <c r="L42" i="6" s="1"/>
  <c r="L43" i="6" s="1"/>
  <c r="L45" i="6" s="1"/>
  <c r="L49" i="6" s="1"/>
  <c r="L50" i="6" s="1"/>
  <c r="L51" i="6" s="1"/>
  <c r="A10" i="6" s="1"/>
  <c r="A6" i="6" s="1"/>
</calcChain>
</file>

<file path=xl/sharedStrings.xml><?xml version="1.0" encoding="utf-8"?>
<sst xmlns="http://schemas.openxmlformats.org/spreadsheetml/2006/main" count="888" uniqueCount="265">
  <si>
    <t>District:</t>
  </si>
  <si>
    <t>School:</t>
  </si>
  <si>
    <t>CCRPI Score</t>
  </si>
  <si>
    <t>Sum of Achievement, Progress, Achievement Gap, and Challenge Points</t>
  </si>
  <si>
    <t>Achievement</t>
  </si>
  <si>
    <t>Progress</t>
  </si>
  <si>
    <t>Achievement Gap</t>
  </si>
  <si>
    <t>Challenge Points</t>
  </si>
  <si>
    <t>Financial Efficiency</t>
  </si>
  <si>
    <t>School Climate</t>
  </si>
  <si>
    <t>ED/EL/SWD Performance</t>
  </si>
  <si>
    <t>Exceeding the Bar</t>
  </si>
  <si>
    <t>Indicators</t>
  </si>
  <si>
    <t>Participation Rate (%)</t>
  </si>
  <si>
    <t>Benchmark for Indicator (%)</t>
  </si>
  <si>
    <t>Performance on Indicator (%)</t>
  </si>
  <si>
    <t>Adjusted Performance on Indicator (%)</t>
  </si>
  <si>
    <t>Points Possible for Indicator</t>
  </si>
  <si>
    <t>Points Earned on Indicator</t>
  </si>
  <si>
    <t>Content Mastery</t>
  </si>
  <si>
    <t>NA</t>
  </si>
  <si>
    <t>Total Points</t>
  </si>
  <si>
    <t>Category Performance %</t>
  </si>
  <si>
    <t>Category Weight</t>
  </si>
  <si>
    <t>Weighted Performance</t>
  </si>
  <si>
    <t>Weighted percent of students scoring at Developing Learner or above on the Georgia Milestones English Language Arts EOG (required participation rate &gt;= 95%)</t>
  </si>
  <si>
    <t>Weighted percent of students scoring at Developing Learner or above on the Georgia Milestones mathematics EOG (required participation rate &gt;= 95%)</t>
  </si>
  <si>
    <t>Weighted percent of students scoring at Developing Learner or above on the Georgia Milestones science EOG (required participation rate &gt;= 95%)</t>
  </si>
  <si>
    <t>Weighted percent of students scoring at Developing Learner or above on the Georgia Milestones social studies EOG (required participation rate &gt;= 95%)</t>
  </si>
  <si>
    <t>Post Elementary School Readiness</t>
  </si>
  <si>
    <t>Percent of English Learners with positive movement from one Performance Band to a higher Performance Band as measured by the ACCESS for ELLs</t>
  </si>
  <si>
    <t>Percent of Students With Disabilities served in general education environments greater than 80% of the school day</t>
  </si>
  <si>
    <t>Percent of students in grade 3 achieving a Lexile measure equal to or greater than 650 on the Georgia Milestones ELA EOG</t>
  </si>
  <si>
    <t>Percent of students in grade 5 achieving a Lexile measure equal to or greater than 650 on the Georgia Milestones ELA EOG</t>
  </si>
  <si>
    <t>Percent of students in grades 1-5 completing the identified number of grade specific career awareness lessons aligned to Georgia's 17 Career Clusters</t>
  </si>
  <si>
    <t>Percent of students missing fewer than 6 days of school</t>
  </si>
  <si>
    <t>Predictor for High School Graduation</t>
  </si>
  <si>
    <t>Percent of students' assessments scoring at Proficient or Distinguished Learner on Georgia Milestones EOGs</t>
  </si>
  <si>
    <t>Content Mastery Weighted Performance</t>
  </si>
  <si>
    <t>Sum of Weighted Performances</t>
  </si>
  <si>
    <t>Total Achievement Points Earned</t>
  </si>
  <si>
    <t>Elementary School Content Area Assessments</t>
  </si>
  <si>
    <t>Count of Students Meeting Typical/High Growth</t>
  </si>
  <si>
    <t>Count of Students with Student Growth Percentiles (SGPs)</t>
  </si>
  <si>
    <t>English Language Arts</t>
  </si>
  <si>
    <t>Mathematics</t>
  </si>
  <si>
    <t>Science</t>
  </si>
  <si>
    <t>Social Studies</t>
  </si>
  <si>
    <t>Total</t>
  </si>
  <si>
    <t>Percent Meeting Typical/High Growth</t>
  </si>
  <si>
    <t>Adjusted Percent Meeting Typical/High Growth</t>
  </si>
  <si>
    <t>Progress Points Earned</t>
  </si>
  <si>
    <t>Gap Size</t>
  </si>
  <si>
    <t>Gap Progress</t>
  </si>
  <si>
    <t>Points Possible</t>
  </si>
  <si>
    <t>Higher of Gap 
Size/Gap Progress</t>
  </si>
  <si>
    <t>EOG: English Language Arts</t>
  </si>
  <si>
    <t>EOG: Mathematics</t>
  </si>
  <si>
    <t>EOG: Science</t>
  </si>
  <si>
    <t>EOG: Social Studies</t>
  </si>
  <si>
    <t>Percent of Higher of Gap Size/Gap Progress</t>
  </si>
  <si>
    <t>Achievement Gap Points Earned</t>
  </si>
  <si>
    <t>Maximum Points</t>
  </si>
  <si>
    <t>Potential Points</t>
  </si>
  <si>
    <t>Flag Count for ED/EL/SWD</t>
  </si>
  <si>
    <t>Flag Count for ED/EL/SWD Meeting Subgroup Performance Target</t>
  </si>
  <si>
    <t>% Flag Count for ED/EL/SWD Meeting Subgroup Performance Target</t>
  </si>
  <si>
    <t>ED/EL/SWD Performance Points Earned</t>
  </si>
  <si>
    <t>Exceeding the Bar Points Earned</t>
  </si>
  <si>
    <t>Elementary School Exceeding the Bar Indicators</t>
  </si>
  <si>
    <t>Benchmark for Indicator</t>
  </si>
  <si>
    <t>Performance on Indicator</t>
  </si>
  <si>
    <t>Percent of students in grades 3-5 earning a passing score in above grade level core courses (ELA, reading, mathematics, science, social studies) and scoring at Proficient Learner or above on all Georgia Milestones EOGs</t>
  </si>
  <si>
    <t>Percent of students earning a passing score in world language courses or earning a passing score in fine arts courses</t>
  </si>
  <si>
    <t>School has earned a Georgia Science, Technology, Engineering and Math (STEM) Program Certification</t>
  </si>
  <si>
    <t>Percent of 5th grade students with a complete career portfolio by end of grade 5 (moves to face of CCRPI in 2016-2017)</t>
  </si>
  <si>
    <t>Percent of teachers utilizing the Statewide Longitudinal Data System (SLDS)</t>
  </si>
  <si>
    <t>School or LEA-defined innovative practice accompanied by data supporting improved student achievement: examples include but are not limited to Charter System, Georgia College and Career Academy, Race to the Top, Striving Reader initiative, dual language immersion program, Literacy Design Collaborative (LDC) and/or Mathematics Design Collaborative (MDC), Response to Intervention (RTI), Positive Behavioral Interventions &amp; Supports (PBIS), local instructional initiatives, etc. Practice must be reported via the CCRPI Data Collection application</t>
  </si>
  <si>
    <t>School or LEA Research/Evidence-based Program/Practice designed to facilitate a personalized climate in the school: examples include but are not limited to Teachers as Advisors program; mentoring program; Positive Behavioral Interventions &amp; Supports (PBIS); service-learning program; peer mediation; conflict mediation</t>
  </si>
  <si>
    <t>ELA</t>
  </si>
  <si>
    <t>Indicator</t>
  </si>
  <si>
    <t>Participation Rate</t>
  </si>
  <si>
    <t>Test Enrollment = Y</t>
  </si>
  <si>
    <t>Test Participant = Y</t>
  </si>
  <si>
    <t>FAY Participant = Y</t>
  </si>
  <si>
    <t>Performance Code = DEV</t>
  </si>
  <si>
    <t>Performance Code = PRO</t>
  </si>
  <si>
    <t>Performance Code = ADV</t>
  </si>
  <si>
    <t>Performance Code = DIS</t>
  </si>
  <si>
    <t>Weighted Proficiency Rate</t>
  </si>
  <si>
    <t xml:space="preserve">EL - Performance Band Positive Movement </t>
  </si>
  <si>
    <t>SWD - General Education Environment</t>
  </si>
  <si>
    <t>Lexile - Grade 5 Score ≥ 850</t>
  </si>
  <si>
    <t>Career Awareness Lessons</t>
  </si>
  <si>
    <t>Attendance Rate</t>
  </si>
  <si>
    <r>
      <t xml:space="preserve">Lexile - Grade 3 Score </t>
    </r>
    <r>
      <rPr>
        <sz val="11"/>
        <rFont val="Calibri"/>
        <family val="2"/>
      </rPr>
      <t>≥ 650</t>
    </r>
  </si>
  <si>
    <t>Total number of students with Report Type = S and AGE is greater than 5 as of September 1 and Special Education Environment = 1</t>
  </si>
  <si>
    <t>Student Grade Level = 3</t>
  </si>
  <si>
    <t>Student Grade Level = 5</t>
  </si>
  <si>
    <t>Performance Code = PRO, ADV, DIS</t>
  </si>
  <si>
    <t>% Test Scores for ED/EL/SWD FAY Students</t>
  </si>
  <si>
    <t>EL = Y and 2 Years ACCESS Data = Yes</t>
  </si>
  <si>
    <t>Current Year Performance Band &gt; Prior Year Performance Band</t>
  </si>
  <si>
    <t>Student Grade Level = 1-3 and Active Year End = Yes</t>
  </si>
  <si>
    <t>Student Grade Level = 4-5 and Active Year End = Yes</t>
  </si>
  <si>
    <t>Count of Students</t>
  </si>
  <si>
    <t>Days Absent &lt; 6</t>
  </si>
  <si>
    <t>Points Earned</t>
  </si>
  <si>
    <t>`</t>
  </si>
  <si>
    <t>Data Source: CCRPI Data Download File = English Language Arts, Mathematics, Science, Social Studies</t>
  </si>
  <si>
    <t>Data Source: CCRPI Data Download File = Access</t>
  </si>
  <si>
    <t>Data Source: FTE-1 (There is no data download file available in the CCRPI portal)</t>
  </si>
  <si>
    <r>
      <t xml:space="preserve">Total number of students with Report Type = S and AGE is greater than 5 as of September 1 and Special Education Environment </t>
    </r>
    <r>
      <rPr>
        <b/>
        <sz val="11"/>
        <rFont val="Calibri"/>
        <family val="2"/>
      </rPr>
      <t>≠ 0</t>
    </r>
  </si>
  <si>
    <t>Data Source: CCRPI Data Download File = English Language Arts</t>
  </si>
  <si>
    <r>
      <t xml:space="preserve">FAY Participant = Y and Lexile Scale Score </t>
    </r>
    <r>
      <rPr>
        <b/>
        <sz val="11"/>
        <rFont val="Calibri"/>
        <family val="2"/>
      </rPr>
      <t>≠ blank</t>
    </r>
  </si>
  <si>
    <r>
      <t xml:space="preserve">FAY Participant = Y and Lexile Scale Score </t>
    </r>
    <r>
      <rPr>
        <b/>
        <sz val="11"/>
        <rFont val="Calibri"/>
        <family val="2"/>
      </rPr>
      <t>≥ 650</t>
    </r>
  </si>
  <si>
    <r>
      <t xml:space="preserve">FAY Participant = Y and Lexile Scale Score </t>
    </r>
    <r>
      <rPr>
        <b/>
        <sz val="11"/>
        <rFont val="Calibri"/>
        <family val="2"/>
      </rPr>
      <t>≥ 850</t>
    </r>
  </si>
  <si>
    <t>Data Source: CCRPI Data Download File = Career Awareness Lessons</t>
  </si>
  <si>
    <r>
      <t xml:space="preserve">Career Awareness Lessons </t>
    </r>
    <r>
      <rPr>
        <b/>
        <sz val="11"/>
        <rFont val="Calibri"/>
        <family val="2"/>
      </rPr>
      <t>≥ 3</t>
    </r>
  </si>
  <si>
    <r>
      <t xml:space="preserve">Career Awareness Lessons </t>
    </r>
    <r>
      <rPr>
        <b/>
        <sz val="11"/>
        <rFont val="Calibri"/>
        <family val="2"/>
      </rPr>
      <t>≥ 4</t>
    </r>
  </si>
  <si>
    <t>Total Career Awareness Lessons Met</t>
  </si>
  <si>
    <t>Total Possible</t>
  </si>
  <si>
    <t>Data Source: CCRPI Data Download File = Attendance Rate</t>
  </si>
  <si>
    <t>Proficient/Distinguished Indicator</t>
  </si>
  <si>
    <t>FAY Participant Total</t>
  </si>
  <si>
    <t>PRO, ADV, DIS Total</t>
  </si>
  <si>
    <t>Data Source: CCRPI Data Download File = Progress - Student Growth Percentiles</t>
  </si>
  <si>
    <t>SGP Growth = Typical Growth, High Growth</t>
  </si>
  <si>
    <t>Assessment Subject Code = E</t>
  </si>
  <si>
    <t>Assessment Subject Code = M</t>
  </si>
  <si>
    <t>Assessment Subject Code = Sci</t>
  </si>
  <si>
    <t>Assessment Subject Code = Soc</t>
  </si>
  <si>
    <t>Data Source: CCRPI Data Download File = Achievement Gap Z Scores</t>
  </si>
  <si>
    <t>Average Z Score of Lowest 25%</t>
  </si>
  <si>
    <t>State Average</t>
  </si>
  <si>
    <t>Gap Size Score</t>
  </si>
  <si>
    <t>Gap Progress Score</t>
  </si>
  <si>
    <t>FAY Participant = Y and in Lowest 25% of Z Score</t>
  </si>
  <si>
    <t>FAY Participant = Y and in Lowest 25% of Prior Z Score</t>
  </si>
  <si>
    <t>Mean SGP of Lowest 25% Based on Prior Z Score</t>
  </si>
  <si>
    <t>ED/EL/SWD Students with Test Scores</t>
  </si>
  <si>
    <t>Flag Count for ED/EL/SWD Meeting Participation Rate and Subgroup Performance Target</t>
  </si>
  <si>
    <t>Test Scores for FAY Students</t>
  </si>
  <si>
    <t>Test Scores for ED/EL/SWD FAY Students</t>
  </si>
  <si>
    <t>Post Elementary School Readiness Weighted Performance</t>
  </si>
  <si>
    <t>Predictor for High School Graduation Weighted Performance</t>
  </si>
  <si>
    <t>Benchmark</t>
  </si>
  <si>
    <t>Career portfolio</t>
  </si>
  <si>
    <t>Data Source: CCRPI Data Download File = Career Portfolio</t>
  </si>
  <si>
    <t>Student Grade Level = 5 and Active Year End = Y</t>
  </si>
  <si>
    <t>Meets Indicator Criteria = Y</t>
  </si>
  <si>
    <t>Data Source: CCRPI Data Download File = Above Grade Level Courses</t>
  </si>
  <si>
    <t>Above grade level courses</t>
  </si>
  <si>
    <t>Active Year End = Y</t>
  </si>
  <si>
    <t>Data Source: CCRPI Data Download File = World Language or Fine Arts</t>
  </si>
  <si>
    <t>World language or fine arts courses</t>
  </si>
  <si>
    <t>STEM program certification</t>
  </si>
  <si>
    <t>Enter Y or N</t>
  </si>
  <si>
    <t>Teachers utilizing SLDS</t>
  </si>
  <si>
    <t>Data Source: CCRPI Report</t>
  </si>
  <si>
    <t>Innovative practice</t>
  </si>
  <si>
    <t>Personalized climate</t>
  </si>
  <si>
    <t>Post Middle School Readiness</t>
  </si>
  <si>
    <t>Percent of students in grade 8 achieving a Lexile measure equal to or greater than 1050 on the Georgia Milestones ELA EOG</t>
  </si>
  <si>
    <t>Percent of students completing 2 or more state defined career related assessments/inventories and a state defined Individual Graduation Plan by the end of grade 8</t>
  </si>
  <si>
    <t>Career assessments and graduation plan</t>
  </si>
  <si>
    <t>Percent of students earning a passing score in three middle school courses in the fine arts, or career exploratory, or world languages by the end of grade 8 (courses must be in the same area of concentration)</t>
  </si>
  <si>
    <t>Percent of students earning at least one high school credit by the end of grade 8 (ELA, mathematics, science, social studies, world languages, fine arts, CTAE) and scoring at Proficient Learner or above on the required Georgia Milestones EOCs</t>
  </si>
  <si>
    <t>Data Source: CCRPI Data Download File = Career Related Assessments/Inventories &amp; IGP</t>
  </si>
  <si>
    <t>Student Grade Level = 8 and Active Year End = Yes</t>
  </si>
  <si>
    <r>
      <t xml:space="preserve">Career Related Inventories </t>
    </r>
    <r>
      <rPr>
        <b/>
        <sz val="11"/>
        <rFont val="Calibri"/>
        <family val="2"/>
      </rPr>
      <t>≥ 2 and IGP = Y</t>
    </r>
  </si>
  <si>
    <t>Fine arts, career, or world language courses</t>
  </si>
  <si>
    <t>Data Source: CCRPI Data Download File = Pathways</t>
  </si>
  <si>
    <t>3 Years Course History = N and Meets Indicator Criteria = N</t>
  </si>
  <si>
    <t>High school credit</t>
  </si>
  <si>
    <t>Data Source: CCRPI Data Download File = High School Credit</t>
  </si>
  <si>
    <t>Weighted percent of students scoring at Developing Learner or above on the Georgia Milestones Ninth Grade Literature EOC (required participation rate &gt;= 95%)</t>
  </si>
  <si>
    <t>Weighted percent of students scoring at Developing Learner or above on the Georgia Milestones American Literature EOC (required participation rate &gt;= 95%)</t>
  </si>
  <si>
    <t>Weighted percent of students scoring at Developing Learner or above on the Georgia Milestones Coordinate Algebra EOC (required participation rate &gt;= 95%)</t>
  </si>
  <si>
    <t>Weighted percent of students scoring at Developing Learner or above on the Georgia Milestones Analytic Geometry EOC (required participation rate &gt;= 95%)</t>
  </si>
  <si>
    <t>Weighted percent of students scoring at Developing Learner or above on the Georgia Milestones Physical Science EOC (required participation rate &gt;= 95%)</t>
  </si>
  <si>
    <t>Weighted percent of students scoring at Developing Learner or above on the Georgia Milestones Biology EOC (required participation rate &gt;= 95%)</t>
  </si>
  <si>
    <t>Weighted percent of students scoring at Developing Learner or above on the Georgia Milestones US History EOC (required participation rate &gt;= 95%)</t>
  </si>
  <si>
    <t>Weighted percent of students scoring at Developing Learner or above on the Georgia Milestones Economics EOC (required participation rate &gt;= 95%)</t>
  </si>
  <si>
    <t>Ninth Grade Literature</t>
  </si>
  <si>
    <t>American Literature</t>
  </si>
  <si>
    <t>Coordinate Algebra</t>
  </si>
  <si>
    <t>Analytic Geometry</t>
  </si>
  <si>
    <t>Physical Science</t>
  </si>
  <si>
    <t>Biology</t>
  </si>
  <si>
    <t>US History</t>
  </si>
  <si>
    <t>Economics</t>
  </si>
  <si>
    <t>Post High School Readiness</t>
  </si>
  <si>
    <t>Middle School Exceeding the Bar Indicators</t>
  </si>
  <si>
    <t>Percent of graduates completing a CTAE pathway, or an advanced academic pathway, or an IB Career Related Programme, or a fine arts pathway, or a world language pathway within their program of study</t>
  </si>
  <si>
    <t>Post Middle School Readiness Weighted Performance</t>
  </si>
  <si>
    <t>Percent of graduates entering TCSG/USG not requiring remediation or support courses; or scoring program ready on the Compass; or scoring at least 22 out of 36 on the composite ACT; or scoring at least 1550 out of 2400 on the combined SAT; or scoring 3 or higher on two or more AP exams; or sccoring 4 or higher on two or more IB exams</t>
  </si>
  <si>
    <t>Percent of graduates earning high school credit(s) for accelerated enrollment via ACCEL, Dual HOPE Grant, Move On When Ready, Early College, Gateway to College, Advanced Placement courses, or International Baccalaureate courses</t>
  </si>
  <si>
    <t>Percent of students achieving a Lexile measure greater than or equal to 1275 on the Georgia Milestones American Literature EOC</t>
  </si>
  <si>
    <t>Percent of students' assessments scoring at Proficient or Distinguished Learner on Georgia Milestones EOCs</t>
  </si>
  <si>
    <t>Data Source: CCRPI Data Download File = High School Pathway Completers</t>
  </si>
  <si>
    <t>Pathway completers</t>
  </si>
  <si>
    <t>Diploma Type = G</t>
  </si>
  <si>
    <t>Graduates</t>
  </si>
  <si>
    <t>3 years Course History = N and Meets Indicator Criteria = N</t>
  </si>
  <si>
    <t>Data Source: CCRPI Data Download File = High School Pathway Credential</t>
  </si>
  <si>
    <t>Percent of graduates completing a CTAE pathway and earning a national industry recognized credential</t>
  </si>
  <si>
    <t>Pathway credential</t>
  </si>
  <si>
    <t>CTAE Pathway Completer = Y</t>
  </si>
  <si>
    <t>College readiness</t>
  </si>
  <si>
    <t>Data Source: CCRPI Data Download File = College Readiness</t>
  </si>
  <si>
    <t>Dual enrollment</t>
  </si>
  <si>
    <t>Data Source: CCRPI Data Download File = Dual Enrollment</t>
  </si>
  <si>
    <t>Data Source: CCRPI Data Download File = American Literature</t>
  </si>
  <si>
    <r>
      <t xml:space="preserve">Lexile </t>
    </r>
    <r>
      <rPr>
        <sz val="11"/>
        <rFont val="Calibri"/>
        <family val="2"/>
      </rPr>
      <t>≥ 1275</t>
    </r>
  </si>
  <si>
    <r>
      <t xml:space="preserve">FAY Participant = Y and Lexile Scale Score </t>
    </r>
    <r>
      <rPr>
        <b/>
        <sz val="11"/>
        <rFont val="Calibri"/>
        <family val="2"/>
      </rPr>
      <t>≥ 1275</t>
    </r>
  </si>
  <si>
    <t>Data Source: CCRPI Data Download File = 9th Grade Literature and Composition, American Literature and Composition, Coordinate Algebra, Analytic Geometry, Physical Science, Biology, US History, Economics</t>
  </si>
  <si>
    <t>High School Graduation</t>
  </si>
  <si>
    <t>9th Grade Lit</t>
  </si>
  <si>
    <t>American Lit</t>
  </si>
  <si>
    <t>2015 4-Year Cohort Graduation Rate (%)</t>
  </si>
  <si>
    <t>2015 5-Year Extended Cohort Graduation Rate (%)</t>
  </si>
  <si>
    <t>Data Source: CCRPI Data Download File = Graduation Rate</t>
  </si>
  <si>
    <t>4-Year Graduation Rate</t>
  </si>
  <si>
    <r>
      <t xml:space="preserve">Grad Rate Type = 4 and Updated Withdrawal Code </t>
    </r>
    <r>
      <rPr>
        <b/>
        <sz val="11"/>
        <rFont val="Calibri"/>
        <family val="2"/>
      </rPr>
      <t>≠ 1, 2, 3, 4, D, H, J, K, N, T, V, W, X, Y, Z</t>
    </r>
  </si>
  <si>
    <t>Grad Rate Type = 4 and Updated Diploma Type = G, C, B, V</t>
  </si>
  <si>
    <t>5-Year Graduation Rate</t>
  </si>
  <si>
    <r>
      <t xml:space="preserve">Grad Rate Type = 5 and Updated Withdrawal Code </t>
    </r>
    <r>
      <rPr>
        <b/>
        <sz val="11"/>
        <rFont val="Calibri"/>
        <family val="2"/>
      </rPr>
      <t>≠ 1, 2, 3, 4, D, H, J, K, N, T, V, W, X, Y, Z</t>
    </r>
  </si>
  <si>
    <t>Grad Rate Type = 5 and Updated Diploma Type = G, C, B, V, W</t>
  </si>
  <si>
    <t>High School Exceeding the Bar Indicators</t>
  </si>
  <si>
    <t>Percent of graduates earning credit in a physics course</t>
  </si>
  <si>
    <t>Percent of first time 9th grade students with disabilites earning 3 Carnegie Unit Credits in 3 core content areas (ELA, mathematics, science, social studies) and scoring at Developing Learner or above on all required Georgia Milestones EOCs</t>
  </si>
  <si>
    <t>Percent of first time 9th grade students earning 4 Carnegie Unit Credits in 4 core content areas (ELA, mathematics, science, social studies) and scoring at Proficient Learner or above on all required Georgia Milestones EOCs</t>
  </si>
  <si>
    <t>Percent of English Learners with positive movement from one Performance Band to a higher Performance Band based on the ACCESS for ELLs</t>
  </si>
  <si>
    <t>Percent of graduates completing a career-related Work-Based Learning Program or a career-related Capstone Project (includes IB projects)</t>
  </si>
  <si>
    <t>Percent of graduates earning 3 or more high school credits in the same world language</t>
  </si>
  <si>
    <t>Physics</t>
  </si>
  <si>
    <t>9th grade SWDs earning 3 credits</t>
  </si>
  <si>
    <t>Data Source: CCRPI Data Download File = Physics</t>
  </si>
  <si>
    <t>Data Source: CCRPI Data Download File = Core Credit for 9th Grade SWD Students</t>
  </si>
  <si>
    <t>SWD = Y and First Time 9th Grade Student = Y and Withdawal Reason Code = #</t>
  </si>
  <si>
    <t>9th grade students earning 4 credits</t>
  </si>
  <si>
    <t>First Time 9th Grade Student = Y and Withdawal Reason Code = #</t>
  </si>
  <si>
    <t>Data Source: CCRPI Data Download File = Core Credit for 9th Grade All Students</t>
  </si>
  <si>
    <t>Data Source: CCRPI Data Download File = Work-Based Learning/Capstone</t>
  </si>
  <si>
    <t>Work-based learning/capstone</t>
  </si>
  <si>
    <t>Data Source: CCRPI Data Download File = World Language</t>
  </si>
  <si>
    <t>World language</t>
  </si>
  <si>
    <r>
      <t xml:space="preserve">Lexile - Grade 8 Score </t>
    </r>
    <r>
      <rPr>
        <sz val="11"/>
        <rFont val="Calibri"/>
        <family val="2"/>
      </rPr>
      <t>≥ 1050</t>
    </r>
  </si>
  <si>
    <r>
      <t xml:space="preserve">FAY Participant = Y and Lexile Scale Score </t>
    </r>
    <r>
      <rPr>
        <b/>
        <sz val="11"/>
        <rFont val="Calibri"/>
        <family val="2"/>
      </rPr>
      <t>≥ 1050</t>
    </r>
  </si>
  <si>
    <t>Student Grade Level = 8</t>
  </si>
  <si>
    <t>High School Content Area Assessments</t>
  </si>
  <si>
    <t>EOC: 9th Grade Literature, American Literature</t>
  </si>
  <si>
    <t>EOC: Algebra, Geometry</t>
  </si>
  <si>
    <t>EOC: Biology, Physical Science</t>
  </si>
  <si>
    <t>EOC: US History, Economics</t>
  </si>
  <si>
    <t>9th Grade Literature, American Literature</t>
  </si>
  <si>
    <t>Algebra, Geometry</t>
  </si>
  <si>
    <t>Biology, Physical Science</t>
  </si>
  <si>
    <t>US History, Economics</t>
  </si>
  <si>
    <t>Middle School Content Area Assessments</t>
  </si>
  <si>
    <t>Post High School Readiness Weighted Performance</t>
  </si>
  <si>
    <t>Graduation Rate Weighted Performance</t>
  </si>
  <si>
    <t>2016 CCRPI Calculator</t>
  </si>
  <si>
    <r>
      <t xml:space="preserve">This calculator can by used by schools and systems to replicate or otherwise examine 2016 CCRPI scores. There are two tabs for each grade band - elementary school (ES), middle school (MS), and high school (HS). The first tab is the </t>
    </r>
    <r>
      <rPr>
        <b/>
        <sz val="11"/>
        <color theme="1"/>
        <rFont val="Calibri"/>
        <family val="2"/>
        <scheme val="minor"/>
      </rPr>
      <t>scoring</t>
    </r>
    <r>
      <rPr>
        <sz val="11"/>
        <color theme="1"/>
        <rFont val="Calibri"/>
        <family val="2"/>
        <scheme val="minor"/>
      </rPr>
      <t xml:space="preserve"> tab. This tab includes all of the values that are displayed on CCRPI reports. The second tab is the </t>
    </r>
    <r>
      <rPr>
        <b/>
        <sz val="11"/>
        <color theme="1"/>
        <rFont val="Calibri"/>
        <family val="2"/>
        <scheme val="minor"/>
      </rPr>
      <t>detail</t>
    </r>
    <r>
      <rPr>
        <sz val="11"/>
        <color theme="1"/>
        <rFont val="Calibri"/>
        <family val="2"/>
        <scheme val="minor"/>
      </rPr>
      <t xml:space="preserve"> tab. This tab can be used in conjunction with the calculation guides and data download files to replicate CCRPI calculations.
There are two ways to utilize this document: 
1) Utilize the Scoring tab only. In this case, enter your data in the orange cells on the scoring tab. When entering values into "Performance on Indicator (%)", round to 3 decimal places. This will allow you to replicate the overall CCRPI score for your school. It will also allow you to change indicator values to determine how the overall CCRPI score would change as a result. By using this option, values from the Detail tab will no longer populate the Scoring tab. On the scoring tab, only enter numeric values, leave cells blank, or enter NA or TFS as indicated on your CCRPI report.
2) Utilize the Detail and Scoring tabs. Using the Detail tab (in conjunction with the calculation guides and data download files), you can calculate all of the CCRPI indicators. The calculations on this tab will then populate the Scoring tab to show the overall CCRPI score. On the detail tab, only enter numeric values, leave cells blank, or enter Y or N as directed.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</si>
</sst>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0"/>
    <numFmt numFmtId="166" formatCode="0.0"/>
    <numFmt numFmtId="167" formatCode="0.0%"/>
    <numFmt numFmtId="168" formatCode="0.0000"/>
  </numFmts>
  <fonts count="15"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0"/>
      <color theme="0"/>
      <name val="Calibri"/>
      <family val="2"/>
      <scheme val="minor"/>
    </font>
    <font>
      <b/>
      <sz val="11"/>
      <name val="Calibri"/>
      <family val="2"/>
      <scheme val="minor"/>
    </font>
    <font>
      <b/>
      <sz val="10"/>
      <name val="Calibri"/>
      <family val="2"/>
      <scheme val="minor"/>
    </font>
    <font>
      <b/>
      <sz val="10"/>
      <color theme="1"/>
      <name val="Calibri"/>
      <family val="2"/>
      <scheme val="minor"/>
    </font>
    <font>
      <sz val="11"/>
      <name val="Calibri"/>
      <family val="2"/>
    </font>
    <font>
      <i/>
      <sz val="11"/>
      <name val="Calibri"/>
      <family val="2"/>
      <scheme val="minor"/>
    </font>
    <font>
      <b/>
      <sz val="11"/>
      <name val="Calibri"/>
      <family val="2"/>
    </font>
    <font>
      <i/>
      <sz val="11"/>
      <color theme="1"/>
      <name val="Calibri"/>
      <family val="2"/>
      <scheme val="minor"/>
    </font>
  </fonts>
  <fills count="5">
    <fill>
      <patternFill patternType="none"/>
    </fill>
    <fill>
      <patternFill patternType="gray125"/>
    </fill>
    <fill>
      <patternFill patternType="solid">
        <fgColor rgb="FF497343"/>
        <bgColor indexed="64"/>
      </patternFill>
    </fill>
    <fill>
      <patternFill patternType="solid">
        <fgColor rgb="FFDDF2D9"/>
        <bgColor indexed="64"/>
      </patternFill>
    </fill>
    <fill>
      <patternFill patternType="solid">
        <fgColor theme="5" tint="0.59999389629810485"/>
        <bgColor indexed="64"/>
      </patternFill>
    </fill>
  </fills>
  <borders count="32">
    <border>
      <left/>
      <right/>
      <top/>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medium">
        <color rgb="FFF3671A"/>
      </left>
      <right style="medium">
        <color rgb="FFF3671A"/>
      </right>
      <top style="medium">
        <color rgb="FFF3671A"/>
      </top>
      <bottom style="medium">
        <color rgb="FFF3671A"/>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rgb="FFF3671A"/>
      </left>
      <right style="thin">
        <color theme="0" tint="-0.249977111117893"/>
      </right>
      <top style="medium">
        <color rgb="FFF3671A"/>
      </top>
      <bottom style="medium">
        <color rgb="FFF3671A"/>
      </bottom>
      <diagonal/>
    </border>
    <border>
      <left style="thin">
        <color theme="0" tint="-0.249977111117893"/>
      </left>
      <right style="thin">
        <color theme="0" tint="-0.249977111117893"/>
      </right>
      <top style="medium">
        <color rgb="FFF3671A"/>
      </top>
      <bottom style="medium">
        <color rgb="FFF3671A"/>
      </bottom>
      <diagonal/>
    </border>
    <border>
      <left style="thin">
        <color theme="0" tint="-0.249977111117893"/>
      </left>
      <right style="medium">
        <color rgb="FFF3671A"/>
      </right>
      <top style="medium">
        <color rgb="FFF3671A"/>
      </top>
      <bottom style="medium">
        <color rgb="FFF3671A"/>
      </bottom>
      <diagonal/>
    </border>
    <border>
      <left style="thin">
        <color theme="0" tint="-0.249977111117893"/>
      </left>
      <right/>
      <top/>
      <bottom/>
      <diagonal/>
    </border>
    <border>
      <left/>
      <right style="thin">
        <color theme="0"/>
      </right>
      <top/>
      <bottom/>
      <diagonal/>
    </border>
    <border>
      <left/>
      <right style="medium">
        <color theme="0"/>
      </right>
      <top/>
      <bottom style="medium">
        <color theme="0"/>
      </bottom>
      <diagonal/>
    </border>
    <border>
      <left style="thin">
        <color theme="0"/>
      </left>
      <right style="thin">
        <color theme="0"/>
      </right>
      <top style="thin">
        <color theme="0" tint="-0.249977111117893"/>
      </top>
      <bottom style="medium">
        <color theme="0"/>
      </bottom>
      <diagonal/>
    </border>
    <border>
      <left/>
      <right style="medium">
        <color theme="0"/>
      </right>
      <top style="medium">
        <color theme="0"/>
      </top>
      <bottom style="medium">
        <color theme="0"/>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right>
      <top/>
      <bottom style="thin">
        <color theme="0"/>
      </bottom>
      <diagonal/>
    </border>
    <border>
      <left style="thin">
        <color theme="0"/>
      </left>
      <right/>
      <top style="thin">
        <color theme="0" tint="-0.249977111117893"/>
      </top>
      <bottom style="thin">
        <color theme="0" tint="-0.249977111117893"/>
      </bottom>
      <diagonal/>
    </border>
    <border>
      <left style="thin">
        <color theme="0"/>
      </left>
      <right style="thin">
        <color theme="0"/>
      </right>
      <top style="thin">
        <color theme="0"/>
      </top>
      <bottom style="thin">
        <color theme="0" tint="-0.249977111117893"/>
      </bottom>
      <diagonal/>
    </border>
    <border>
      <left style="thin">
        <color theme="0"/>
      </left>
      <right style="thin">
        <color theme="0"/>
      </right>
      <top style="thin">
        <color theme="0" tint="-0.249977111117893"/>
      </top>
      <bottom style="thin">
        <color theme="0" tint="-0.249977111117893"/>
      </bottom>
      <diagonal/>
    </border>
    <border>
      <left style="thin">
        <color theme="0"/>
      </left>
      <right/>
      <top/>
      <bottom style="thin">
        <color theme="0" tint="-0.249977111117893"/>
      </bottom>
      <diagonal/>
    </border>
    <border>
      <left/>
      <right style="thin">
        <color theme="0" tint="-0.249977111117893"/>
      </right>
      <top/>
      <bottom style="thin">
        <color theme="0"/>
      </bottom>
      <diagonal/>
    </border>
    <border>
      <left style="thin">
        <color theme="0"/>
      </left>
      <right style="thin">
        <color theme="0" tint="-0.249977111117893"/>
      </right>
      <top style="thin">
        <color theme="0"/>
      </top>
      <bottom style="thin">
        <color theme="0"/>
      </bottom>
      <diagonal/>
    </border>
    <border>
      <left style="thin">
        <color theme="0"/>
      </left>
      <right style="thin">
        <color theme="0" tint="-0.249977111117893"/>
      </right>
      <top style="thin">
        <color theme="0" tint="-0.249977111117893"/>
      </top>
      <bottom style="thin">
        <color theme="0"/>
      </bottom>
      <diagonal/>
    </border>
    <border>
      <left/>
      <right style="thin">
        <color theme="0" tint="-0.249977111117893"/>
      </right>
      <top style="thin">
        <color theme="0" tint="-0.249977111117893"/>
      </top>
      <bottom/>
      <diagonal/>
    </border>
  </borders>
  <cellStyleXfs count="1">
    <xf numFmtId="0" fontId="0" fillId="0" borderId="0"/>
  </cellStyleXfs>
  <cellXfs count="165">
    <xf numFmtId="0" fontId="0" fillId="0" borderId="0" xfId="0"/>
    <xf numFmtId="0" fontId="0" fillId="0" borderId="1" xfId="0" applyBorder="1"/>
    <xf numFmtId="0" fontId="0" fillId="0" borderId="4" xfId="0" applyBorder="1"/>
    <xf numFmtId="0" fontId="0" fillId="0" borderId="5" xfId="0" applyBorder="1"/>
    <xf numFmtId="0" fontId="0" fillId="0" borderId="6" xfId="0" applyBorder="1"/>
    <xf numFmtId="0" fontId="7" fillId="2" borderId="2" xfId="0" applyFont="1" applyFill="1" applyBorder="1" applyAlignment="1">
      <alignment horizontal="center" vertical="center" wrapText="1"/>
    </xf>
    <xf numFmtId="0" fontId="9" fillId="3" borderId="2" xfId="0" applyFont="1" applyFill="1" applyBorder="1" applyAlignment="1">
      <alignment vertical="center"/>
    </xf>
    <xf numFmtId="0" fontId="9" fillId="3" borderId="2" xfId="0" applyFont="1" applyFill="1" applyBorder="1" applyAlignment="1">
      <alignment horizontal="center" vertical="center" wrapText="1"/>
    </xf>
    <xf numFmtId="0" fontId="0" fillId="0" borderId="2" xfId="0" applyBorder="1" applyAlignment="1">
      <alignment horizontal="center" vertical="center" wrapText="1"/>
    </xf>
    <xf numFmtId="164" fontId="0" fillId="0" borderId="2" xfId="0" applyNumberFormat="1" applyBorder="1" applyAlignment="1">
      <alignment horizontal="center" vertical="center"/>
    </xf>
    <xf numFmtId="0" fontId="2" fillId="3" borderId="2" xfId="0" applyFont="1" applyFill="1" applyBorder="1" applyAlignment="1">
      <alignment vertical="center"/>
    </xf>
    <xf numFmtId="0" fontId="0" fillId="0" borderId="2" xfId="0" applyFill="1" applyBorder="1" applyAlignment="1">
      <alignment horizontal="center" vertical="center"/>
    </xf>
    <xf numFmtId="0" fontId="0" fillId="3" borderId="2" xfId="0" applyFill="1" applyBorder="1" applyAlignment="1">
      <alignment horizontal="center" vertical="center"/>
    </xf>
    <xf numFmtId="0" fontId="10" fillId="3" borderId="2" xfId="0" applyFont="1" applyFill="1" applyBorder="1" applyAlignment="1">
      <alignment horizontal="center" vertical="center" wrapText="1"/>
    </xf>
    <xf numFmtId="0" fontId="0" fillId="0" borderId="0" xfId="0" applyBorder="1"/>
    <xf numFmtId="0" fontId="8" fillId="3" borderId="2" xfId="0" applyFont="1" applyFill="1" applyBorder="1" applyAlignment="1">
      <alignment horizontal="center" vertical="center" wrapText="1"/>
    </xf>
    <xf numFmtId="0" fontId="3" fillId="0" borderId="2" xfId="0" applyFont="1" applyBorder="1"/>
    <xf numFmtId="0" fontId="3" fillId="0" borderId="2" xfId="0" applyFont="1" applyFill="1" applyBorder="1" applyAlignment="1">
      <alignment horizontal="center" vertical="center"/>
    </xf>
    <xf numFmtId="0" fontId="3" fillId="0" borderId="2" xfId="0" applyFont="1" applyBorder="1" applyAlignment="1">
      <alignment horizontal="center" vertical="center"/>
    </xf>
    <xf numFmtId="0" fontId="8" fillId="3" borderId="9" xfId="0" applyFont="1" applyFill="1" applyBorder="1" applyAlignment="1">
      <alignment horizontal="center" vertical="center" wrapText="1"/>
    </xf>
    <xf numFmtId="0" fontId="3" fillId="0" borderId="1" xfId="0" applyFont="1" applyBorder="1"/>
    <xf numFmtId="0" fontId="8" fillId="0" borderId="1" xfId="0" applyFont="1" applyBorder="1" applyAlignment="1">
      <alignment horizontal="center" vertical="center" wrapText="1"/>
    </xf>
    <xf numFmtId="0" fontId="12" fillId="0" borderId="1" xfId="0" applyFont="1" applyBorder="1" applyAlignment="1">
      <alignment vertical="center"/>
    </xf>
    <xf numFmtId="0" fontId="3" fillId="0" borderId="3" xfId="0" applyFont="1" applyBorder="1"/>
    <xf numFmtId="0" fontId="8" fillId="0" borderId="3" xfId="0" applyFont="1" applyBorder="1" applyAlignment="1">
      <alignment horizontal="center" vertical="center" wrapText="1"/>
    </xf>
    <xf numFmtId="0" fontId="3" fillId="0" borderId="5" xfId="0" applyFont="1" applyBorder="1"/>
    <xf numFmtId="0" fontId="12" fillId="0" borderId="3" xfId="0" applyFont="1" applyBorder="1" applyAlignment="1">
      <alignment vertical="center"/>
    </xf>
    <xf numFmtId="0" fontId="3" fillId="3" borderId="2" xfId="0" applyFont="1" applyFill="1" applyBorder="1"/>
    <xf numFmtId="0" fontId="3" fillId="0" borderId="2" xfId="0" applyFont="1" applyFill="1" applyBorder="1" applyAlignment="1" applyProtection="1"/>
    <xf numFmtId="0" fontId="3" fillId="0" borderId="6" xfId="0" applyFont="1" applyBorder="1"/>
    <xf numFmtId="0" fontId="3" fillId="0" borderId="4" xfId="0" applyFont="1" applyBorder="1"/>
    <xf numFmtId="0" fontId="3" fillId="0" borderId="6" xfId="0" applyFont="1" applyFill="1" applyBorder="1" applyAlignment="1" applyProtection="1"/>
    <xf numFmtId="0" fontId="3" fillId="3" borderId="2" xfId="0" applyFont="1" applyFill="1" applyBorder="1" applyAlignment="1" applyProtection="1"/>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3" borderId="2" xfId="0" applyFont="1" applyFill="1" applyBorder="1"/>
    <xf numFmtId="0" fontId="8" fillId="0" borderId="1" xfId="0" applyFont="1" applyBorder="1"/>
    <xf numFmtId="0" fontId="8" fillId="0" borderId="3" xfId="0" applyFont="1" applyBorder="1"/>
    <xf numFmtId="0" fontId="3" fillId="0" borderId="2" xfId="0" applyFont="1" applyBorder="1" applyAlignment="1">
      <alignment horizontal="center"/>
    </xf>
    <xf numFmtId="0" fontId="8" fillId="0" borderId="5" xfId="0" applyFont="1" applyBorder="1" applyAlignment="1">
      <alignment horizontal="right" vertical="center"/>
    </xf>
    <xf numFmtId="0" fontId="3" fillId="0" borderId="2" xfId="0" applyFont="1" applyBorder="1" applyAlignment="1">
      <alignment horizontal="right"/>
    </xf>
    <xf numFmtId="0" fontId="1" fillId="0" borderId="2" xfId="0" applyFont="1" applyBorder="1" applyAlignment="1">
      <alignment horizontal="center"/>
    </xf>
    <xf numFmtId="164" fontId="1"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2" fillId="0" borderId="1" xfId="0" applyFont="1" applyBorder="1"/>
    <xf numFmtId="0" fontId="0" fillId="4" borderId="2" xfId="0"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2" xfId="0" applyFont="1" applyFill="1" applyBorder="1" applyAlignment="1" applyProtection="1">
      <alignment horizontal="center"/>
      <protection locked="0"/>
    </xf>
    <xf numFmtId="0" fontId="14" fillId="0" borderId="1" xfId="0" applyFont="1" applyBorder="1"/>
    <xf numFmtId="164" fontId="1" fillId="0" borderId="2" xfId="0" applyNumberFormat="1" applyFont="1" applyBorder="1" applyAlignment="1">
      <alignment horizontal="center" vertical="center"/>
    </xf>
    <xf numFmtId="0" fontId="0" fillId="0" borderId="2" xfId="0" applyBorder="1" applyAlignment="1">
      <alignment horizontal="center" vertical="center"/>
    </xf>
    <xf numFmtId="0" fontId="3" fillId="0" borderId="18" xfId="0" applyFont="1" applyBorder="1"/>
    <xf numFmtId="0" fontId="3" fillId="0" borderId="19" xfId="0" applyFont="1" applyBorder="1"/>
    <xf numFmtId="0" fontId="12" fillId="0" borderId="20" xfId="0" applyFont="1" applyBorder="1" applyAlignment="1">
      <alignment vertical="center"/>
    </xf>
    <xf numFmtId="0" fontId="0" fillId="0" borderId="2"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Fill="1" applyBorder="1" applyAlignment="1">
      <alignment horizontal="center" vertical="center"/>
    </xf>
    <xf numFmtId="164" fontId="1" fillId="0" borderId="2" xfId="0" applyNumberFormat="1" applyFont="1" applyBorder="1" applyAlignment="1">
      <alignment horizontal="center" vertical="center"/>
    </xf>
    <xf numFmtId="0" fontId="1" fillId="0" borderId="2" xfId="0" applyFont="1" applyBorder="1" applyAlignment="1">
      <alignment horizontal="center"/>
    </xf>
    <xf numFmtId="0" fontId="8" fillId="0" borderId="2" xfId="0" applyFont="1" applyBorder="1" applyAlignment="1">
      <alignment horizontal="center" vertical="center" wrapText="1"/>
    </xf>
    <xf numFmtId="164" fontId="1"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Fill="1" applyBorder="1" applyAlignment="1">
      <alignment horizontal="center" vertical="center"/>
    </xf>
    <xf numFmtId="0" fontId="8" fillId="0" borderId="2" xfId="0" applyFont="1" applyBorder="1" applyAlignment="1">
      <alignment horizontal="center" vertical="center" wrapText="1"/>
    </xf>
    <xf numFmtId="0" fontId="3" fillId="3" borderId="10" xfId="0" applyFont="1" applyFill="1" applyBorder="1"/>
    <xf numFmtId="0" fontId="0" fillId="0" borderId="2" xfId="0" applyBorder="1" applyAlignment="1">
      <alignment horizontal="center" vertical="center"/>
    </xf>
    <xf numFmtId="0" fontId="0" fillId="0" borderId="2" xfId="0" applyFill="1" applyBorder="1" applyAlignment="1">
      <alignment horizontal="center" vertical="center"/>
    </xf>
    <xf numFmtId="164" fontId="1" fillId="0" borderId="2" xfId="0" applyNumberFormat="1" applyFont="1" applyBorder="1" applyAlignment="1">
      <alignment horizontal="center" vertical="center"/>
    </xf>
    <xf numFmtId="0" fontId="1" fillId="0" borderId="2" xfId="0" applyFont="1" applyBorder="1" applyAlignment="1">
      <alignment horizontal="center"/>
    </xf>
    <xf numFmtId="0" fontId="3" fillId="0" borderId="0" xfId="0" applyFont="1" applyBorder="1"/>
    <xf numFmtId="0" fontId="3" fillId="0" borderId="23" xfId="0" applyFont="1" applyBorder="1"/>
    <xf numFmtId="0" fontId="3" fillId="0" borderId="24" xfId="0" applyFont="1" applyBorder="1"/>
    <xf numFmtId="0" fontId="3" fillId="0" borderId="25" xfId="0" applyFont="1" applyBorder="1"/>
    <xf numFmtId="0" fontId="3" fillId="0" borderId="26" xfId="0" applyFont="1" applyFill="1" applyBorder="1" applyAlignment="1" applyProtection="1"/>
    <xf numFmtId="0" fontId="3" fillId="0" borderId="26" xfId="0" applyFont="1" applyBorder="1"/>
    <xf numFmtId="0" fontId="3" fillId="0" borderId="27" xfId="0" applyFont="1" applyFill="1" applyBorder="1" applyAlignment="1" applyProtection="1"/>
    <xf numFmtId="0" fontId="3" fillId="0" borderId="28" xfId="0" applyFont="1" applyFill="1" applyBorder="1" applyAlignment="1" applyProtection="1"/>
    <xf numFmtId="0" fontId="3" fillId="0" borderId="29" xfId="0" applyFont="1" applyFill="1" applyBorder="1" applyAlignment="1" applyProtection="1"/>
    <xf numFmtId="0" fontId="3" fillId="0" borderId="30" xfId="0" applyFont="1" applyFill="1" applyBorder="1" applyAlignment="1" applyProtection="1"/>
    <xf numFmtId="165" fontId="0" fillId="0" borderId="2" xfId="0" applyNumberFormat="1" applyBorder="1" applyAlignment="1">
      <alignment horizontal="center" vertical="center"/>
    </xf>
    <xf numFmtId="0" fontId="0" fillId="0" borderId="2" xfId="0" applyBorder="1" applyAlignment="1">
      <alignment horizontal="center" vertical="center"/>
    </xf>
    <xf numFmtId="0" fontId="5" fillId="2" borderId="1" xfId="0" applyFont="1" applyFill="1" applyBorder="1" applyAlignment="1">
      <alignment horizontal="center" vertical="center"/>
    </xf>
    <xf numFmtId="0" fontId="0" fillId="0" borderId="1" xfId="0" applyBorder="1" applyAlignment="1">
      <alignment horizontal="left" wrapText="1"/>
    </xf>
    <xf numFmtId="166" fontId="0" fillId="0" borderId="2" xfId="0" applyNumberFormat="1" applyBorder="1" applyAlignment="1">
      <alignment horizontal="center" vertical="center"/>
    </xf>
    <xf numFmtId="0" fontId="0" fillId="0" borderId="2" xfId="0" applyBorder="1" applyAlignment="1">
      <alignment horizontal="center" vertical="center"/>
    </xf>
    <xf numFmtId="0" fontId="5" fillId="2" borderId="2"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pplyProtection="1">
      <alignment horizontal="left" vertical="center"/>
      <protection locked="0"/>
    </xf>
    <xf numFmtId="0" fontId="4" fillId="2" borderId="2" xfId="0" applyFont="1" applyFill="1" applyBorder="1" applyAlignment="1">
      <alignment horizontal="center" vertical="center"/>
    </xf>
    <xf numFmtId="0" fontId="0" fillId="0" borderId="2" xfId="0" applyBorder="1" applyAlignment="1" applyProtection="1">
      <alignment horizontal="center" vertical="center"/>
      <protection locked="0"/>
    </xf>
    <xf numFmtId="166" fontId="0" fillId="0" borderId="2" xfId="0" applyNumberFormat="1" applyFill="1" applyBorder="1" applyAlignment="1">
      <alignment horizontal="center" vertical="center"/>
    </xf>
    <xf numFmtId="0" fontId="0" fillId="0" borderId="2" xfId="0" applyFill="1" applyBorder="1" applyAlignment="1">
      <alignment horizontal="center" vertical="center"/>
    </xf>
    <xf numFmtId="0" fontId="6" fillId="0" borderId="2" xfId="0" applyFont="1" applyBorder="1" applyAlignment="1">
      <alignment horizontal="center" vertical="center"/>
    </xf>
    <xf numFmtId="0" fontId="1" fillId="3" borderId="2" xfId="0" applyFont="1" applyFill="1" applyBorder="1" applyAlignment="1">
      <alignment horizontal="center" vertical="center" wrapText="1"/>
    </xf>
    <xf numFmtId="0" fontId="0" fillId="0" borderId="2" xfId="0" applyBorder="1" applyAlignment="1">
      <alignment horizontal="center"/>
    </xf>
    <xf numFmtId="0" fontId="1" fillId="0" borderId="2" xfId="0" applyFont="1" applyBorder="1" applyAlignment="1">
      <alignment horizontal="right" vertical="center"/>
    </xf>
    <xf numFmtId="164" fontId="1" fillId="0" borderId="2" xfId="0" applyNumberFormat="1" applyFont="1" applyBorder="1" applyAlignment="1">
      <alignment horizontal="center" vertical="center"/>
    </xf>
    <xf numFmtId="9" fontId="1" fillId="0" borderId="2" xfId="0" applyNumberFormat="1" applyFont="1" applyBorder="1" applyAlignment="1">
      <alignment horizontal="center" vertical="center"/>
    </xf>
    <xf numFmtId="0" fontId="1" fillId="0" borderId="2" xfId="0" applyFont="1" applyBorder="1" applyAlignment="1">
      <alignment horizontal="center" vertical="center"/>
    </xf>
    <xf numFmtId="168" fontId="1" fillId="0" borderId="2" xfId="0" applyNumberFormat="1" applyFont="1" applyBorder="1" applyAlignment="1">
      <alignment horizontal="center" vertical="center"/>
    </xf>
    <xf numFmtId="0" fontId="0" fillId="0" borderId="2" xfId="0" applyBorder="1" applyAlignment="1">
      <alignment horizontal="left" vertical="center" wrapText="1"/>
    </xf>
    <xf numFmtId="168" fontId="1" fillId="0" borderId="7" xfId="0" applyNumberFormat="1" applyFont="1" applyFill="1" applyBorder="1" applyAlignment="1">
      <alignment horizontal="center" vertical="center"/>
    </xf>
    <xf numFmtId="0" fontId="1" fillId="0" borderId="10" xfId="0" applyFont="1" applyBorder="1" applyAlignment="1">
      <alignment horizontal="right" vertical="center"/>
    </xf>
    <xf numFmtId="0" fontId="8" fillId="0" borderId="2" xfId="0"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3" fillId="0" borderId="2" xfId="0" applyFont="1" applyFill="1" applyBorder="1" applyAlignment="1">
      <alignment horizontal="left" vertical="center"/>
    </xf>
    <xf numFmtId="0" fontId="3" fillId="4" borderId="2"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xf>
    <xf numFmtId="0" fontId="8" fillId="0" borderId="2" xfId="0" applyFont="1" applyFill="1" applyBorder="1" applyAlignment="1">
      <alignment horizontal="right" vertical="center"/>
    </xf>
    <xf numFmtId="167"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5" fillId="2" borderId="8" xfId="0" applyFont="1" applyFill="1" applyBorder="1" applyAlignment="1">
      <alignment horizontal="center" vertical="center"/>
    </xf>
    <xf numFmtId="0" fontId="1" fillId="0" borderId="2" xfId="0" applyFont="1" applyBorder="1" applyAlignment="1">
      <alignment horizontal="center" vertical="center" wrapText="1"/>
    </xf>
    <xf numFmtId="166" fontId="8" fillId="0" borderId="2" xfId="0" quotePrefix="1" applyNumberFormat="1" applyFont="1" applyFill="1" applyBorder="1" applyAlignment="1">
      <alignment horizontal="center" vertical="center" wrapText="1"/>
    </xf>
    <xf numFmtId="166" fontId="8" fillId="0" borderId="2" xfId="0" applyNumberFormat="1" applyFont="1" applyFill="1" applyBorder="1" applyAlignment="1">
      <alignment horizontal="center" vertical="center" wrapText="1"/>
    </xf>
    <xf numFmtId="0" fontId="0" fillId="0" borderId="2" xfId="0" applyBorder="1" applyAlignment="1">
      <alignment horizontal="left"/>
    </xf>
    <xf numFmtId="0" fontId="0" fillId="4" borderId="2" xfId="0" applyFill="1" applyBorder="1" applyAlignment="1" applyProtection="1">
      <alignment horizontal="center"/>
      <protection locked="0"/>
    </xf>
    <xf numFmtId="0" fontId="1" fillId="0" borderId="2" xfId="0" applyFont="1" applyBorder="1" applyAlignment="1">
      <alignment horizontal="right"/>
    </xf>
    <xf numFmtId="0" fontId="1" fillId="0" borderId="2" xfId="0" applyFont="1" applyBorder="1" applyAlignment="1">
      <alignment horizontal="center"/>
    </xf>
    <xf numFmtId="0" fontId="1" fillId="0" borderId="2" xfId="0" applyNumberFormat="1" applyFont="1" applyBorder="1" applyAlignment="1">
      <alignment horizontal="center"/>
    </xf>
    <xf numFmtId="0" fontId="0" fillId="0" borderId="2" xfId="0" applyFill="1" applyBorder="1" applyAlignment="1">
      <alignment horizontal="center"/>
    </xf>
    <xf numFmtId="0" fontId="1" fillId="3" borderId="2" xfId="0" applyFont="1" applyFill="1" applyBorder="1" applyAlignment="1">
      <alignment horizontal="center" wrapText="1"/>
    </xf>
    <xf numFmtId="0" fontId="9" fillId="3" borderId="2" xfId="0" applyFont="1" applyFill="1" applyBorder="1" applyAlignment="1">
      <alignment horizontal="center" vertical="center"/>
    </xf>
    <xf numFmtId="0" fontId="1" fillId="3" borderId="2" xfId="0" applyFont="1" applyFill="1" applyBorder="1" applyAlignment="1">
      <alignment horizontal="center" vertical="center"/>
    </xf>
    <xf numFmtId="164" fontId="0" fillId="0" borderId="2" xfId="0" applyNumberFormat="1" applyBorder="1" applyAlignment="1">
      <alignment horizontal="center"/>
    </xf>
    <xf numFmtId="0" fontId="12" fillId="0" borderId="10" xfId="0" applyFont="1" applyBorder="1" applyAlignment="1">
      <alignment horizontal="left"/>
    </xf>
    <xf numFmtId="0" fontId="12" fillId="0" borderId="12" xfId="0" applyFont="1" applyBorder="1" applyAlignment="1">
      <alignment horizontal="left"/>
    </xf>
    <xf numFmtId="0" fontId="12" fillId="0" borderId="11" xfId="0" applyFont="1" applyBorder="1" applyAlignment="1">
      <alignment horizontal="left"/>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12" fillId="0" borderId="2" xfId="0" applyFont="1" applyBorder="1" applyAlignment="1">
      <alignment horizontal="left" vertical="center"/>
    </xf>
    <xf numFmtId="0" fontId="12" fillId="0" borderId="7" xfId="0" applyFont="1" applyBorder="1" applyAlignment="1">
      <alignment horizontal="left" vertical="center"/>
    </xf>
    <xf numFmtId="0" fontId="12" fillId="0" borderId="22" xfId="0" applyFont="1" applyBorder="1" applyAlignment="1">
      <alignment horizontal="left" vertical="center"/>
    </xf>
    <xf numFmtId="0" fontId="12" fillId="0" borderId="21" xfId="0" applyFont="1" applyBorder="1" applyAlignment="1">
      <alignment horizontal="left"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5" fillId="2" borderId="4"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12" fillId="0" borderId="16"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12" fillId="0" borderId="2" xfId="0" applyFont="1" applyBorder="1" applyAlignment="1">
      <alignment horizontal="left"/>
    </xf>
    <xf numFmtId="0" fontId="12" fillId="0" borderId="2" xfId="0" applyFont="1" applyBorder="1" applyAlignment="1">
      <alignment horizontal="left" vertical="center" wrapText="1"/>
    </xf>
    <xf numFmtId="0" fontId="12" fillId="0" borderId="7"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31"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F3671A"/>
      <color rgb="FFDDF2D9"/>
      <color rgb="FF497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104775</xdr:colOff>
      <xdr:row>2</xdr:row>
      <xdr:rowOff>133350</xdr:rowOff>
    </xdr:from>
    <xdr:to>
      <xdr:col>15</xdr:col>
      <xdr:colOff>85725</xdr:colOff>
      <xdr:row>4</xdr:row>
      <xdr:rowOff>180975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115675" y="561975"/>
          <a:ext cx="2009775" cy="4476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10</xdr:col>
      <xdr:colOff>1</xdr:colOff>
      <xdr:row>3</xdr:row>
      <xdr:rowOff>157163</xdr:rowOff>
    </xdr:from>
    <xdr:to>
      <xdr:col>12</xdr:col>
      <xdr:colOff>104775</xdr:colOff>
      <xdr:row>3</xdr:row>
      <xdr:rowOff>190500</xdr:rowOff>
    </xdr:to>
    <xdr:cxnSp macro="">
      <xdr:nvCxnSpPr>
        <xdr:cNvPr id="4" name="Straight Arrow Connector 3">
          <a:extLst>
            <a:ext uri="{FF2B5EF4-FFF2-40B4-BE49-F238E27FC236}">
              <a16:creationId xmlns:a16="http://schemas.microsoft.com/office/drawing/2014/main" id="{00000000-0008-0000-0200-000004000000}"/>
            </a:ext>
          </a:extLst>
        </xdr:cNvPr>
        <xdr:cNvCxnSpPr>
          <a:stCxn id="2" idx="1"/>
        </xdr:cNvCxnSpPr>
      </xdr:nvCxnSpPr>
      <xdr:spPr>
        <a:xfrm flipH="1">
          <a:off x="9391651" y="785813"/>
          <a:ext cx="1724024" cy="3333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9525</xdr:colOff>
      <xdr:row>34</xdr:row>
      <xdr:rowOff>52578</xdr:rowOff>
    </xdr:from>
    <xdr:to>
      <xdr:col>13</xdr:col>
      <xdr:colOff>266700</xdr:colOff>
      <xdr:row>35</xdr:row>
      <xdr:rowOff>66675</xdr:rowOff>
    </xdr:to>
    <xdr:cxnSp macro="">
      <xdr:nvCxnSpPr>
        <xdr:cNvPr id="6" name="Straight Arrow Connector 5">
          <a:extLst>
            <a:ext uri="{FF2B5EF4-FFF2-40B4-BE49-F238E27FC236}">
              <a16:creationId xmlns:a16="http://schemas.microsoft.com/office/drawing/2014/main" id="{00000000-0008-0000-0200-000006000000}"/>
            </a:ext>
          </a:extLst>
        </xdr:cNvPr>
        <xdr:cNvCxnSpPr>
          <a:stCxn id="11" idx="1"/>
        </xdr:cNvCxnSpPr>
      </xdr:nvCxnSpPr>
      <xdr:spPr>
        <a:xfrm flipH="1">
          <a:off x="9401175" y="13101828"/>
          <a:ext cx="2686050" cy="2045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266700</xdr:colOff>
      <xdr:row>33</xdr:row>
      <xdr:rowOff>28575</xdr:rowOff>
    </xdr:from>
    <xdr:to>
      <xdr:col>16</xdr:col>
      <xdr:colOff>447675</xdr:colOff>
      <xdr:row>35</xdr:row>
      <xdr:rowOff>86106</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2087225" y="1287780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9</xdr:col>
      <xdr:colOff>800100</xdr:colOff>
      <xdr:row>42</xdr:row>
      <xdr:rowOff>176403</xdr:rowOff>
    </xdr:from>
    <xdr:to>
      <xdr:col>10</xdr:col>
      <xdr:colOff>371475</xdr:colOff>
      <xdr:row>42</xdr:row>
      <xdr:rowOff>333375</xdr:rowOff>
    </xdr:to>
    <xdr:cxnSp macro="">
      <xdr:nvCxnSpPr>
        <xdr:cNvPr id="13" name="Straight Arrow Connector 12">
          <a:extLst>
            <a:ext uri="{FF2B5EF4-FFF2-40B4-BE49-F238E27FC236}">
              <a16:creationId xmlns:a16="http://schemas.microsoft.com/office/drawing/2014/main" id="{00000000-0008-0000-0200-00000D000000}"/>
            </a:ext>
          </a:extLst>
        </xdr:cNvPr>
        <xdr:cNvCxnSpPr>
          <a:stCxn id="14" idx="1"/>
        </xdr:cNvCxnSpPr>
      </xdr:nvCxnSpPr>
      <xdr:spPr>
        <a:xfrm flipH="1">
          <a:off x="9382125" y="15425928"/>
          <a:ext cx="381000" cy="156972"/>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371475</xdr:colOff>
      <xdr:row>41</xdr:row>
      <xdr:rowOff>142875</xdr:rowOff>
    </xdr:from>
    <xdr:to>
      <xdr:col>12</xdr:col>
      <xdr:colOff>762000</xdr:colOff>
      <xdr:row>43</xdr:row>
      <xdr:rowOff>381</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9763125" y="1520190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SGP Growth.</a:t>
          </a:r>
          <a:endParaRPr lang="en-US" sz="1100"/>
        </a:p>
      </xdr:txBody>
    </xdr:sp>
    <xdr:clientData/>
  </xdr:twoCellAnchor>
  <xdr:twoCellAnchor>
    <xdr:from>
      <xdr:col>4</xdr:col>
      <xdr:colOff>142875</xdr:colOff>
      <xdr:row>56</xdr:row>
      <xdr:rowOff>638175</xdr:rowOff>
    </xdr:from>
    <xdr:to>
      <xdr:col>6</xdr:col>
      <xdr:colOff>533400</xdr:colOff>
      <xdr:row>56</xdr:row>
      <xdr:rowOff>1276350</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4676775" y="20364450"/>
          <a:ext cx="2009775" cy="6381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ED/EL/SWD and Test Scores</a:t>
          </a:r>
        </a:p>
      </xdr:txBody>
    </xdr:sp>
    <xdr:clientData/>
  </xdr:twoCellAnchor>
  <xdr:twoCellAnchor>
    <xdr:from>
      <xdr:col>3</xdr:col>
      <xdr:colOff>790576</xdr:colOff>
      <xdr:row>56</xdr:row>
      <xdr:rowOff>314325</xdr:rowOff>
    </xdr:from>
    <xdr:to>
      <xdr:col>4</xdr:col>
      <xdr:colOff>209550</xdr:colOff>
      <xdr:row>56</xdr:row>
      <xdr:rowOff>676275</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flipH="1" flipV="1">
          <a:off x="4514851" y="20040600"/>
          <a:ext cx="228599" cy="361950"/>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171449</xdr:colOff>
      <xdr:row>75</xdr:row>
      <xdr:rowOff>161925</xdr:rowOff>
    </xdr:from>
    <xdr:to>
      <xdr:col>7</xdr:col>
      <xdr:colOff>561974</xdr:colOff>
      <xdr:row>77</xdr:row>
      <xdr:rowOff>571500</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5514974" y="25088850"/>
          <a:ext cx="2009775" cy="80010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Student Grade Level =</a:t>
          </a:r>
          <a:r>
            <a:rPr lang="en-US" sz="1100" baseline="0"/>
            <a:t> 5 and Active Year End = Y when filtering on Meets Indicator Criteria</a:t>
          </a:r>
        </a:p>
      </xdr:txBody>
    </xdr:sp>
    <xdr:clientData/>
  </xdr:twoCellAnchor>
  <xdr:twoCellAnchor>
    <xdr:from>
      <xdr:col>3</xdr:col>
      <xdr:colOff>800100</xdr:colOff>
      <xdr:row>77</xdr:row>
      <xdr:rowOff>95250</xdr:rowOff>
    </xdr:from>
    <xdr:to>
      <xdr:col>5</xdr:col>
      <xdr:colOff>190500</xdr:colOff>
      <xdr:row>77</xdr:row>
      <xdr:rowOff>104775</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flipH="1" flipV="1">
          <a:off x="4524375" y="25403175"/>
          <a:ext cx="1009650" cy="9525"/>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800100</xdr:colOff>
      <xdr:row>65</xdr:row>
      <xdr:rowOff>95250</xdr:rowOff>
    </xdr:from>
    <xdr:to>
      <xdr:col>5</xdr:col>
      <xdr:colOff>190500</xdr:colOff>
      <xdr:row>65</xdr:row>
      <xdr:rowOff>104775</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flipH="1" flipV="1">
          <a:off x="4524375" y="25412700"/>
          <a:ext cx="1009650" cy="9525"/>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171450</xdr:colOff>
      <xdr:row>64</xdr:row>
      <xdr:rowOff>171450</xdr:rowOff>
    </xdr:from>
    <xdr:to>
      <xdr:col>7</xdr:col>
      <xdr:colOff>561975</xdr:colOff>
      <xdr:row>66</xdr:row>
      <xdr:rowOff>57150</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5514975" y="23002875"/>
          <a:ext cx="2009775" cy="66675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a:t>
          </a:r>
          <a:r>
            <a:rPr lang="en-US" sz="1100" baseline="0"/>
            <a:t>Active Year End = Y when filtering on Meets Indicator Criteria</a:t>
          </a:r>
        </a:p>
      </xdr:txBody>
    </xdr:sp>
    <xdr:clientData/>
  </xdr:twoCellAnchor>
  <xdr:twoCellAnchor>
    <xdr:from>
      <xdr:col>3</xdr:col>
      <xdr:colOff>800100</xdr:colOff>
      <xdr:row>69</xdr:row>
      <xdr:rowOff>95250</xdr:rowOff>
    </xdr:from>
    <xdr:to>
      <xdr:col>5</xdr:col>
      <xdr:colOff>190500</xdr:colOff>
      <xdr:row>69</xdr:row>
      <xdr:rowOff>104775</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flipH="1" flipV="1">
          <a:off x="4524375" y="23126700"/>
          <a:ext cx="1009650" cy="9525"/>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171450</xdr:colOff>
      <xdr:row>68</xdr:row>
      <xdr:rowOff>171450</xdr:rowOff>
    </xdr:from>
    <xdr:to>
      <xdr:col>7</xdr:col>
      <xdr:colOff>561975</xdr:colOff>
      <xdr:row>70</xdr:row>
      <xdr:rowOff>57150</xdr:rowOff>
    </xdr:to>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5514975" y="23002875"/>
          <a:ext cx="2009775" cy="66675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a:t>
          </a:r>
          <a:r>
            <a:rPr lang="en-US" sz="1100" baseline="0"/>
            <a:t>Active Year End = Y when filtering on Meets Indicator Criteria</a:t>
          </a:r>
        </a:p>
      </xdr:txBody>
    </xdr:sp>
    <xdr:clientData/>
  </xdr:twoCellAnchor>
  <xdr:twoCellAnchor>
    <xdr:from>
      <xdr:col>5</xdr:col>
      <xdr:colOff>95251</xdr:colOff>
      <xdr:row>26</xdr:row>
      <xdr:rowOff>57151</xdr:rowOff>
    </xdr:from>
    <xdr:to>
      <xdr:col>9</xdr:col>
      <xdr:colOff>85725</xdr:colOff>
      <xdr:row>26</xdr:row>
      <xdr:rowOff>62103</xdr:rowOff>
    </xdr:to>
    <xdr:cxnSp macro="">
      <xdr:nvCxnSpPr>
        <xdr:cNvPr id="21" name="Straight Arrow Connector 20">
          <a:extLst>
            <a:ext uri="{FF2B5EF4-FFF2-40B4-BE49-F238E27FC236}">
              <a16:creationId xmlns:a16="http://schemas.microsoft.com/office/drawing/2014/main" id="{00000000-0008-0000-0200-000015000000}"/>
            </a:ext>
          </a:extLst>
        </xdr:cNvPr>
        <xdr:cNvCxnSpPr>
          <a:stCxn id="22" idx="1"/>
        </xdr:cNvCxnSpPr>
      </xdr:nvCxnSpPr>
      <xdr:spPr>
        <a:xfrm flipH="1" flipV="1">
          <a:off x="5438776" y="10439401"/>
          <a:ext cx="3228974" cy="4952"/>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85725</xdr:colOff>
      <xdr:row>25</xdr:row>
      <xdr:rowOff>38100</xdr:rowOff>
    </xdr:from>
    <xdr:to>
      <xdr:col>11</xdr:col>
      <xdr:colOff>476250</xdr:colOff>
      <xdr:row>26</xdr:row>
      <xdr:rowOff>286131</xdr:rowOff>
    </xdr:to>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8667750" y="10220325"/>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filters on when filtering on Career Awareness Lessons.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2</xdr:row>
      <xdr:rowOff>133350</xdr:rowOff>
    </xdr:from>
    <xdr:to>
      <xdr:col>15</xdr:col>
      <xdr:colOff>85725</xdr:colOff>
      <xdr:row>4</xdr:row>
      <xdr:rowOff>180975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115675" y="561975"/>
          <a:ext cx="2009775" cy="4476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10</xdr:col>
      <xdr:colOff>1</xdr:colOff>
      <xdr:row>3</xdr:row>
      <xdr:rowOff>157163</xdr:rowOff>
    </xdr:from>
    <xdr:to>
      <xdr:col>12</xdr:col>
      <xdr:colOff>104775</xdr:colOff>
      <xdr:row>3</xdr:row>
      <xdr:rowOff>190500</xdr:rowOff>
    </xdr:to>
    <xdr:cxnSp macro="">
      <xdr:nvCxnSpPr>
        <xdr:cNvPr id="3" name="Straight Arrow Connector 2">
          <a:extLst>
            <a:ext uri="{FF2B5EF4-FFF2-40B4-BE49-F238E27FC236}">
              <a16:creationId xmlns:a16="http://schemas.microsoft.com/office/drawing/2014/main" id="{00000000-0008-0000-0400-000003000000}"/>
            </a:ext>
          </a:extLst>
        </xdr:cNvPr>
        <xdr:cNvCxnSpPr>
          <a:stCxn id="2" idx="1"/>
        </xdr:cNvCxnSpPr>
      </xdr:nvCxnSpPr>
      <xdr:spPr>
        <a:xfrm flipH="1">
          <a:off x="9391651" y="785813"/>
          <a:ext cx="1724024" cy="3333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9525</xdr:colOff>
      <xdr:row>32</xdr:row>
      <xdr:rowOff>52578</xdr:rowOff>
    </xdr:from>
    <xdr:to>
      <xdr:col>13</xdr:col>
      <xdr:colOff>266700</xdr:colOff>
      <xdr:row>33</xdr:row>
      <xdr:rowOff>66675</xdr:rowOff>
    </xdr:to>
    <xdr:cxnSp macro="">
      <xdr:nvCxnSpPr>
        <xdr:cNvPr id="4" name="Straight Arrow Connector 3">
          <a:extLst>
            <a:ext uri="{FF2B5EF4-FFF2-40B4-BE49-F238E27FC236}">
              <a16:creationId xmlns:a16="http://schemas.microsoft.com/office/drawing/2014/main" id="{00000000-0008-0000-0400-000004000000}"/>
            </a:ext>
          </a:extLst>
        </xdr:cNvPr>
        <xdr:cNvCxnSpPr>
          <a:stCxn id="5" idx="1"/>
        </xdr:cNvCxnSpPr>
      </xdr:nvCxnSpPr>
      <xdr:spPr>
        <a:xfrm flipH="1">
          <a:off x="9401175" y="13139928"/>
          <a:ext cx="2686050" cy="2045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266700</xdr:colOff>
      <xdr:row>31</xdr:row>
      <xdr:rowOff>28575</xdr:rowOff>
    </xdr:from>
    <xdr:to>
      <xdr:col>16</xdr:col>
      <xdr:colOff>447675</xdr:colOff>
      <xdr:row>33</xdr:row>
      <xdr:rowOff>86106</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2087225" y="1291590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9</xdr:col>
      <xdr:colOff>800100</xdr:colOff>
      <xdr:row>40</xdr:row>
      <xdr:rowOff>176403</xdr:rowOff>
    </xdr:from>
    <xdr:to>
      <xdr:col>10</xdr:col>
      <xdr:colOff>371475</xdr:colOff>
      <xdr:row>40</xdr:row>
      <xdr:rowOff>333375</xdr:rowOff>
    </xdr:to>
    <xdr:cxnSp macro="">
      <xdr:nvCxnSpPr>
        <xdr:cNvPr id="6" name="Straight Arrow Connector 5">
          <a:extLst>
            <a:ext uri="{FF2B5EF4-FFF2-40B4-BE49-F238E27FC236}">
              <a16:creationId xmlns:a16="http://schemas.microsoft.com/office/drawing/2014/main" id="{00000000-0008-0000-0400-000006000000}"/>
            </a:ext>
          </a:extLst>
        </xdr:cNvPr>
        <xdr:cNvCxnSpPr>
          <a:stCxn id="7" idx="1"/>
        </xdr:cNvCxnSpPr>
      </xdr:nvCxnSpPr>
      <xdr:spPr>
        <a:xfrm flipH="1">
          <a:off x="9382125" y="15425928"/>
          <a:ext cx="381000" cy="156972"/>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371475</xdr:colOff>
      <xdr:row>39</xdr:row>
      <xdr:rowOff>142875</xdr:rowOff>
    </xdr:from>
    <xdr:to>
      <xdr:col>12</xdr:col>
      <xdr:colOff>762000</xdr:colOff>
      <xdr:row>41</xdr:row>
      <xdr:rowOff>381</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9763125" y="1520190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SGP Growth.</a:t>
          </a:r>
          <a:endParaRPr lang="en-US" sz="1100"/>
        </a:p>
      </xdr:txBody>
    </xdr:sp>
    <xdr:clientData/>
  </xdr:twoCellAnchor>
  <xdr:twoCellAnchor>
    <xdr:from>
      <xdr:col>4</xdr:col>
      <xdr:colOff>142875</xdr:colOff>
      <xdr:row>54</xdr:row>
      <xdr:rowOff>638175</xdr:rowOff>
    </xdr:from>
    <xdr:to>
      <xdr:col>6</xdr:col>
      <xdr:colOff>533400</xdr:colOff>
      <xdr:row>54</xdr:row>
      <xdr:rowOff>1276350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676775" y="20402550"/>
          <a:ext cx="2009775" cy="6381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ED/EL/SWD and Test Scores</a:t>
          </a:r>
        </a:p>
      </xdr:txBody>
    </xdr:sp>
    <xdr:clientData/>
  </xdr:twoCellAnchor>
  <xdr:twoCellAnchor>
    <xdr:from>
      <xdr:col>3</xdr:col>
      <xdr:colOff>790576</xdr:colOff>
      <xdr:row>54</xdr:row>
      <xdr:rowOff>314325</xdr:rowOff>
    </xdr:from>
    <xdr:to>
      <xdr:col>4</xdr:col>
      <xdr:colOff>209550</xdr:colOff>
      <xdr:row>54</xdr:row>
      <xdr:rowOff>676275</xdr:rowOff>
    </xdr:to>
    <xdr:cxnSp macro="">
      <xdr:nvCxnSpPr>
        <xdr:cNvPr id="9" name="Straight Arrow Connector 8">
          <a:extLst>
            <a:ext uri="{FF2B5EF4-FFF2-40B4-BE49-F238E27FC236}">
              <a16:creationId xmlns:a16="http://schemas.microsoft.com/office/drawing/2014/main" id="{00000000-0008-0000-0400-000009000000}"/>
            </a:ext>
          </a:extLst>
        </xdr:cNvPr>
        <xdr:cNvCxnSpPr/>
      </xdr:nvCxnSpPr>
      <xdr:spPr>
        <a:xfrm flipH="1" flipV="1">
          <a:off x="4514851" y="20078700"/>
          <a:ext cx="228599" cy="361950"/>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800100</xdr:colOff>
      <xdr:row>63</xdr:row>
      <xdr:rowOff>95251</xdr:rowOff>
    </xdr:from>
    <xdr:to>
      <xdr:col>7</xdr:col>
      <xdr:colOff>285750</xdr:colOff>
      <xdr:row>63</xdr:row>
      <xdr:rowOff>114300</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flipH="1" flipV="1">
          <a:off x="4524375" y="22040851"/>
          <a:ext cx="2724150" cy="19049"/>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247650</xdr:colOff>
      <xdr:row>62</xdr:row>
      <xdr:rowOff>190500</xdr:rowOff>
    </xdr:from>
    <xdr:to>
      <xdr:col>9</xdr:col>
      <xdr:colOff>638175</xdr:colOff>
      <xdr:row>63</xdr:row>
      <xdr:rowOff>838200</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7210425" y="21936075"/>
          <a:ext cx="2009775" cy="8477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solidFill>
                <a:schemeClr val="lt1"/>
              </a:solidFill>
              <a:effectLst/>
              <a:latin typeface="+mn-lt"/>
              <a:ea typeface="+mn-ea"/>
              <a:cs typeface="+mn-cs"/>
            </a:rPr>
            <a:t>Keep </a:t>
          </a:r>
          <a:r>
            <a:rPr lang="en-US" sz="1100" baseline="0">
              <a:solidFill>
                <a:schemeClr val="lt1"/>
              </a:solidFill>
              <a:effectLst/>
              <a:latin typeface="+mn-lt"/>
              <a:ea typeface="+mn-ea"/>
              <a:cs typeface="+mn-cs"/>
            </a:rPr>
            <a:t>Active Year End = Y when filtering on 3 Years Course History and Meets Indicator Criteria</a:t>
          </a:r>
          <a:endParaRPr lang="en-US">
            <a:effectLst/>
          </a:endParaRPr>
        </a:p>
      </xdr:txBody>
    </xdr:sp>
    <xdr:clientData/>
  </xdr:twoCellAnchor>
  <xdr:twoCellAnchor>
    <xdr:from>
      <xdr:col>3</xdr:col>
      <xdr:colOff>800100</xdr:colOff>
      <xdr:row>67</xdr:row>
      <xdr:rowOff>57150</xdr:rowOff>
    </xdr:from>
    <xdr:to>
      <xdr:col>5</xdr:col>
      <xdr:colOff>314325</xdr:colOff>
      <xdr:row>67</xdr:row>
      <xdr:rowOff>95251</xdr:rowOff>
    </xdr:to>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flipH="1">
          <a:off x="4524375" y="23736300"/>
          <a:ext cx="1133475" cy="38101"/>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714375</xdr:colOff>
      <xdr:row>23</xdr:row>
      <xdr:rowOff>128778</xdr:rowOff>
    </xdr:from>
    <xdr:to>
      <xdr:col>5</xdr:col>
      <xdr:colOff>314324</xdr:colOff>
      <xdr:row>24</xdr:row>
      <xdr:rowOff>66675</xdr:rowOff>
    </xdr:to>
    <xdr:cxnSp macro="">
      <xdr:nvCxnSpPr>
        <xdr:cNvPr id="16" name="Straight Arrow Connector 15">
          <a:extLst>
            <a:ext uri="{FF2B5EF4-FFF2-40B4-BE49-F238E27FC236}">
              <a16:creationId xmlns:a16="http://schemas.microsoft.com/office/drawing/2014/main" id="{00000000-0008-0000-0400-000010000000}"/>
            </a:ext>
          </a:extLst>
        </xdr:cNvPr>
        <xdr:cNvCxnSpPr/>
      </xdr:nvCxnSpPr>
      <xdr:spPr>
        <a:xfrm flipH="1">
          <a:off x="3629025" y="9168003"/>
          <a:ext cx="2028824" cy="1283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228599</xdr:colOff>
      <xdr:row>23</xdr:row>
      <xdr:rowOff>76200</xdr:rowOff>
    </xdr:from>
    <xdr:to>
      <xdr:col>7</xdr:col>
      <xdr:colOff>619124</xdr:colOff>
      <xdr:row>24</xdr:row>
      <xdr:rowOff>504825</xdr:rowOff>
    </xdr:to>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5572124" y="9115425"/>
          <a:ext cx="2009775" cy="62865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filters on when filtering on Career Related Inventories and IGP.</a:t>
          </a:r>
        </a:p>
      </xdr:txBody>
    </xdr:sp>
    <xdr:clientData/>
  </xdr:twoCellAnchor>
  <xdr:twoCellAnchor>
    <xdr:from>
      <xdr:col>5</xdr:col>
      <xdr:colOff>304800</xdr:colOff>
      <xdr:row>66</xdr:row>
      <xdr:rowOff>123825</xdr:rowOff>
    </xdr:from>
    <xdr:to>
      <xdr:col>8</xdr:col>
      <xdr:colOff>76200</xdr:colOff>
      <xdr:row>67</xdr:row>
      <xdr:rowOff>390525</xdr:rowOff>
    </xdr:to>
    <xdr:sp macro="" textlink="">
      <xdr:nvSpPr>
        <xdr:cNvPr id="20" name="TextBox 19">
          <a:extLst>
            <a:ext uri="{FF2B5EF4-FFF2-40B4-BE49-F238E27FC236}">
              <a16:creationId xmlns:a16="http://schemas.microsoft.com/office/drawing/2014/main" id="{00000000-0008-0000-0400-000014000000}"/>
            </a:ext>
          </a:extLst>
        </xdr:cNvPr>
        <xdr:cNvSpPr txBox="1"/>
      </xdr:nvSpPr>
      <xdr:spPr>
        <a:xfrm>
          <a:off x="5648325" y="23602950"/>
          <a:ext cx="2200275" cy="4667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a:t>
          </a:r>
          <a:r>
            <a:rPr lang="en-US" sz="1100" baseline="0"/>
            <a:t>Active Year End = Y when filtering on Meets Indicator Criteria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104775</xdr:colOff>
      <xdr:row>3</xdr:row>
      <xdr:rowOff>0</xdr:rowOff>
    </xdr:from>
    <xdr:to>
      <xdr:col>15</xdr:col>
      <xdr:colOff>85725</xdr:colOff>
      <xdr:row>4</xdr:row>
      <xdr:rowOff>247650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1115675" y="628650"/>
          <a:ext cx="2009775" cy="4476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10</xdr:col>
      <xdr:colOff>1</xdr:colOff>
      <xdr:row>3</xdr:row>
      <xdr:rowOff>185738</xdr:rowOff>
    </xdr:from>
    <xdr:to>
      <xdr:col>12</xdr:col>
      <xdr:colOff>104775</xdr:colOff>
      <xdr:row>4</xdr:row>
      <xdr:rowOff>19050</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9391651" y="814388"/>
          <a:ext cx="1724024" cy="3333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800100</xdr:colOff>
      <xdr:row>58</xdr:row>
      <xdr:rowOff>176403</xdr:rowOff>
    </xdr:from>
    <xdr:to>
      <xdr:col>10</xdr:col>
      <xdr:colOff>371475</xdr:colOff>
      <xdr:row>58</xdr:row>
      <xdr:rowOff>333375</xdr:rowOff>
    </xdr:to>
    <xdr:cxnSp macro="">
      <xdr:nvCxnSpPr>
        <xdr:cNvPr id="6" name="Straight Arrow Connector 5">
          <a:extLst>
            <a:ext uri="{FF2B5EF4-FFF2-40B4-BE49-F238E27FC236}">
              <a16:creationId xmlns:a16="http://schemas.microsoft.com/office/drawing/2014/main" id="{00000000-0008-0000-0600-000006000000}"/>
            </a:ext>
          </a:extLst>
        </xdr:cNvPr>
        <xdr:cNvCxnSpPr>
          <a:stCxn id="7" idx="1"/>
        </xdr:cNvCxnSpPr>
      </xdr:nvCxnSpPr>
      <xdr:spPr>
        <a:xfrm flipH="1">
          <a:off x="9382125" y="14301978"/>
          <a:ext cx="381000" cy="156972"/>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371475</xdr:colOff>
      <xdr:row>57</xdr:row>
      <xdr:rowOff>142875</xdr:rowOff>
    </xdr:from>
    <xdr:to>
      <xdr:col>12</xdr:col>
      <xdr:colOff>762000</xdr:colOff>
      <xdr:row>59</xdr:row>
      <xdr:rowOff>381</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9763125" y="1407795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SGP Growth.</a:t>
          </a:r>
          <a:endParaRPr lang="en-US" sz="1100"/>
        </a:p>
      </xdr:txBody>
    </xdr:sp>
    <xdr:clientData/>
  </xdr:twoCellAnchor>
  <xdr:twoCellAnchor>
    <xdr:from>
      <xdr:col>4</xdr:col>
      <xdr:colOff>142875</xdr:colOff>
      <xdr:row>72</xdr:row>
      <xdr:rowOff>638175</xdr:rowOff>
    </xdr:from>
    <xdr:to>
      <xdr:col>6</xdr:col>
      <xdr:colOff>533400</xdr:colOff>
      <xdr:row>72</xdr:row>
      <xdr:rowOff>1276350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4676775" y="19278600"/>
          <a:ext cx="2009775" cy="6381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ED/EL/SWD and Test Scores</a:t>
          </a:r>
        </a:p>
      </xdr:txBody>
    </xdr:sp>
    <xdr:clientData/>
  </xdr:twoCellAnchor>
  <xdr:twoCellAnchor>
    <xdr:from>
      <xdr:col>3</xdr:col>
      <xdr:colOff>790576</xdr:colOff>
      <xdr:row>72</xdr:row>
      <xdr:rowOff>314325</xdr:rowOff>
    </xdr:from>
    <xdr:to>
      <xdr:col>4</xdr:col>
      <xdr:colOff>209550</xdr:colOff>
      <xdr:row>72</xdr:row>
      <xdr:rowOff>676275</xdr:rowOff>
    </xdr:to>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flipH="1" flipV="1">
          <a:off x="4514851" y="18954750"/>
          <a:ext cx="228599" cy="361950"/>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0</xdr:colOff>
      <xdr:row>16</xdr:row>
      <xdr:rowOff>114301</xdr:rowOff>
    </xdr:from>
    <xdr:to>
      <xdr:col>7</xdr:col>
      <xdr:colOff>295275</xdr:colOff>
      <xdr:row>16</xdr:row>
      <xdr:rowOff>133350</xdr:rowOff>
    </xdr:to>
    <xdr:cxnSp macro="">
      <xdr:nvCxnSpPr>
        <xdr:cNvPr id="16" name="Straight Arrow Connector 15">
          <a:extLst>
            <a:ext uri="{FF2B5EF4-FFF2-40B4-BE49-F238E27FC236}">
              <a16:creationId xmlns:a16="http://schemas.microsoft.com/office/drawing/2014/main" id="{00000000-0008-0000-0600-000010000000}"/>
            </a:ext>
          </a:extLst>
        </xdr:cNvPr>
        <xdr:cNvCxnSpPr/>
      </xdr:nvCxnSpPr>
      <xdr:spPr>
        <a:xfrm flipH="1" flipV="1">
          <a:off x="4533900" y="3638551"/>
          <a:ext cx="2724150" cy="19049"/>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200025</xdr:colOff>
      <xdr:row>16</xdr:row>
      <xdr:rowOff>38100</xdr:rowOff>
    </xdr:from>
    <xdr:to>
      <xdr:col>9</xdr:col>
      <xdr:colOff>590550</xdr:colOff>
      <xdr:row>16</xdr:row>
      <xdr:rowOff>885825</xdr:rowOff>
    </xdr:to>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7162800" y="3552825"/>
          <a:ext cx="2009775" cy="8477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solidFill>
                <a:schemeClr val="lt1"/>
              </a:solidFill>
              <a:effectLst/>
              <a:latin typeface="+mn-lt"/>
              <a:ea typeface="+mn-ea"/>
              <a:cs typeface="+mn-cs"/>
            </a:rPr>
            <a:t>Keep </a:t>
          </a:r>
          <a:r>
            <a:rPr lang="en-US" sz="1100" baseline="0">
              <a:solidFill>
                <a:schemeClr val="lt1"/>
              </a:solidFill>
              <a:effectLst/>
              <a:latin typeface="+mn-lt"/>
              <a:ea typeface="+mn-ea"/>
              <a:cs typeface="+mn-cs"/>
            </a:rPr>
            <a:t>Diploma Type = G when filtering on 3 Years Course History and Meets Indicator Criteria</a:t>
          </a:r>
          <a:endParaRPr lang="en-US">
            <a:effectLst/>
          </a:endParaRPr>
        </a:p>
      </xdr:txBody>
    </xdr:sp>
    <xdr:clientData/>
  </xdr:twoCellAnchor>
  <xdr:twoCellAnchor>
    <xdr:from>
      <xdr:col>10</xdr:col>
      <xdr:colOff>19051</xdr:colOff>
      <xdr:row>37</xdr:row>
      <xdr:rowOff>0</xdr:rowOff>
    </xdr:from>
    <xdr:to>
      <xdr:col>10</xdr:col>
      <xdr:colOff>457200</xdr:colOff>
      <xdr:row>37</xdr:row>
      <xdr:rowOff>104776</xdr:rowOff>
    </xdr:to>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flipH="1">
          <a:off x="9410701" y="12315825"/>
          <a:ext cx="438149" cy="104776"/>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409575</xdr:colOff>
      <xdr:row>36</xdr:row>
      <xdr:rowOff>114300</xdr:rowOff>
    </xdr:from>
    <xdr:to>
      <xdr:col>12</xdr:col>
      <xdr:colOff>800100</xdr:colOff>
      <xdr:row>37</xdr:row>
      <xdr:rowOff>419100</xdr:rowOff>
    </xdr:to>
    <xdr:sp macro="" textlink="">
      <xdr:nvSpPr>
        <xdr:cNvPr id="19" name="TextBox 18">
          <a:extLst>
            <a:ext uri="{FF2B5EF4-FFF2-40B4-BE49-F238E27FC236}">
              <a16:creationId xmlns:a16="http://schemas.microsoft.com/office/drawing/2014/main" id="{00000000-0008-0000-0600-000013000000}"/>
            </a:ext>
          </a:extLst>
        </xdr:cNvPr>
        <xdr:cNvSpPr txBox="1"/>
      </xdr:nvSpPr>
      <xdr:spPr>
        <a:xfrm>
          <a:off x="9801225" y="12230100"/>
          <a:ext cx="2009775" cy="5048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
  <sheetViews>
    <sheetView tabSelected="1" workbookViewId="0">
      <selection sqref="A1:M1"/>
    </sheetView>
  </sheetViews>
  <sheetFormatPr defaultColWidth="9.1796875" defaultRowHeight="14.5" x14ac:dyDescent="0.35"/>
  <cols>
    <col min="1" max="16384" width="9.1796875" style="1"/>
  </cols>
  <sheetData>
    <row r="1" spans="1:13" ht="18.5" x14ac:dyDescent="0.35">
      <c r="A1" s="91" t="s">
        <v>263</v>
      </c>
      <c r="B1" s="91"/>
      <c r="C1" s="91"/>
      <c r="D1" s="91"/>
      <c r="E1" s="91"/>
      <c r="F1" s="91"/>
      <c r="G1" s="91"/>
      <c r="H1" s="91"/>
      <c r="I1" s="91"/>
      <c r="J1" s="91"/>
      <c r="K1" s="91"/>
      <c r="L1" s="91"/>
      <c r="M1" s="91"/>
    </row>
    <row r="2" spans="1:13" x14ac:dyDescent="0.35">
      <c r="A2" s="56"/>
    </row>
    <row r="3" spans="1:13" ht="226.5" customHeight="1" x14ac:dyDescent="0.35">
      <c r="A3" s="92" t="s">
        <v>264</v>
      </c>
      <c r="B3" s="92"/>
      <c r="C3" s="92"/>
      <c r="D3" s="92"/>
      <c r="E3" s="92"/>
      <c r="F3" s="92"/>
      <c r="G3" s="92"/>
      <c r="H3" s="92"/>
      <c r="I3" s="92"/>
      <c r="J3" s="92"/>
      <c r="K3" s="92"/>
      <c r="L3" s="92"/>
      <c r="M3" s="92"/>
    </row>
  </sheetData>
  <sheetProtection sheet="1" objects="1" scenarios="1" selectLockedCells="1"/>
  <mergeCells count="2">
    <mergeCell ref="A1:M1"/>
    <mergeCell ref="A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95"/>
  <sheetViews>
    <sheetView showRuler="0" view="pageLayout" topLeftCell="A23" zoomScaleNormal="100" workbookViewId="0">
      <selection activeCell="F62" sqref="F62:G62"/>
    </sheetView>
  </sheetViews>
  <sheetFormatPr defaultColWidth="9.1796875" defaultRowHeight="14.5" x14ac:dyDescent="0.35"/>
  <cols>
    <col min="1" max="1" width="11.1796875" style="14" customWidth="1"/>
    <col min="2" max="2" width="2.81640625" style="14" bestFit="1" customWidth="1"/>
    <col min="3" max="3" width="8.26953125" style="14" customWidth="1"/>
    <col min="4" max="13" width="11.1796875" style="14" customWidth="1"/>
    <col min="14" max="16384" width="9.1796875" style="14"/>
  </cols>
  <sheetData>
    <row r="1" spans="1:13" x14ac:dyDescent="0.35">
      <c r="A1" s="2"/>
      <c r="B1" s="2"/>
      <c r="C1" s="2"/>
      <c r="D1" s="2"/>
      <c r="E1" s="2"/>
      <c r="F1" s="2"/>
      <c r="G1" s="2"/>
      <c r="H1" s="2"/>
      <c r="I1" s="2"/>
      <c r="J1" s="2"/>
      <c r="K1" s="2"/>
      <c r="L1" s="2"/>
      <c r="M1" s="2"/>
    </row>
    <row r="2" spans="1:13" x14ac:dyDescent="0.35">
      <c r="A2" s="49" t="s">
        <v>0</v>
      </c>
      <c r="B2" s="97"/>
      <c r="C2" s="97"/>
      <c r="D2" s="97"/>
      <c r="E2" s="97"/>
      <c r="F2" s="97"/>
      <c r="G2" s="97"/>
      <c r="H2" s="97"/>
      <c r="I2" s="97"/>
      <c r="J2" s="97"/>
      <c r="K2" s="97"/>
      <c r="L2" s="97"/>
      <c r="M2" s="97"/>
    </row>
    <row r="3" spans="1:13" x14ac:dyDescent="0.35">
      <c r="A3" s="49" t="s">
        <v>1</v>
      </c>
      <c r="B3" s="97"/>
      <c r="C3" s="97"/>
      <c r="D3" s="97"/>
      <c r="E3" s="97"/>
      <c r="F3" s="97"/>
      <c r="G3" s="97"/>
      <c r="H3" s="97"/>
      <c r="I3" s="97"/>
      <c r="J3" s="97"/>
      <c r="K3" s="97"/>
      <c r="L3" s="97"/>
      <c r="M3" s="97"/>
    </row>
    <row r="4" spans="1:13" x14ac:dyDescent="0.35">
      <c r="A4" s="4"/>
      <c r="B4" s="4"/>
      <c r="C4" s="4"/>
      <c r="D4" s="4"/>
      <c r="E4" s="4"/>
      <c r="F4" s="4"/>
      <c r="G4" s="4"/>
      <c r="H4" s="4"/>
      <c r="I4" s="4"/>
      <c r="J4" s="4"/>
      <c r="K4" s="4"/>
      <c r="L4" s="4"/>
      <c r="M4" s="4"/>
    </row>
    <row r="5" spans="1:13" ht="18.5" x14ac:dyDescent="0.35">
      <c r="A5" s="95" t="s">
        <v>2</v>
      </c>
      <c r="B5" s="95"/>
      <c r="C5" s="95"/>
      <c r="D5" s="95"/>
      <c r="E5" s="95"/>
      <c r="F5" s="95"/>
      <c r="G5" s="95"/>
      <c r="H5" s="95"/>
      <c r="I5" s="95"/>
      <c r="J5" s="95"/>
      <c r="K5" s="95"/>
      <c r="L5" s="95"/>
      <c r="M5" s="95"/>
    </row>
    <row r="6" spans="1:13" x14ac:dyDescent="0.35">
      <c r="A6" s="100" t="str">
        <f>IF(A10="NA", "NA", IF(AND(A10="NA",D10="NA",F10="NA"),"NA",IF(AND(D10="NA",F10="NA"),ROUND(SUM(((A10)/50)*100)+H11,1),IF(D10="NA",ROUND(SUM(((A10+F10)/60)*100)+H11,1),IF(F10="NA",ROUND(SUM(((A10+D10)/90)*100)+H11,1),A10+D10+F10+H11)))))</f>
        <v>NA</v>
      </c>
      <c r="B6" s="101"/>
      <c r="C6" s="101"/>
      <c r="D6" s="101"/>
      <c r="E6" s="101"/>
      <c r="F6" s="101"/>
      <c r="G6" s="101"/>
      <c r="H6" s="101"/>
      <c r="I6" s="101"/>
      <c r="J6" s="101"/>
      <c r="K6" s="101"/>
      <c r="L6" s="101"/>
      <c r="M6" s="101"/>
    </row>
    <row r="7" spans="1:13" x14ac:dyDescent="0.35">
      <c r="A7" s="102" t="s">
        <v>3</v>
      </c>
      <c r="B7" s="102"/>
      <c r="C7" s="102"/>
      <c r="D7" s="102"/>
      <c r="E7" s="102"/>
      <c r="F7" s="102"/>
      <c r="G7" s="102"/>
      <c r="H7" s="102"/>
      <c r="I7" s="102"/>
      <c r="J7" s="102"/>
      <c r="K7" s="102"/>
      <c r="L7" s="102"/>
      <c r="M7" s="102"/>
    </row>
    <row r="8" spans="1:13" ht="15.5" x14ac:dyDescent="0.35">
      <c r="A8" s="98" t="s">
        <v>4</v>
      </c>
      <c r="B8" s="98"/>
      <c r="C8" s="98"/>
      <c r="D8" s="98" t="s">
        <v>5</v>
      </c>
      <c r="E8" s="98"/>
      <c r="F8" s="98" t="s">
        <v>6</v>
      </c>
      <c r="G8" s="98"/>
      <c r="H8" s="98" t="s">
        <v>7</v>
      </c>
      <c r="I8" s="98"/>
      <c r="J8" s="98" t="s">
        <v>8</v>
      </c>
      <c r="K8" s="98"/>
      <c r="L8" s="98" t="s">
        <v>9</v>
      </c>
      <c r="M8" s="98"/>
    </row>
    <row r="9" spans="1:13" ht="26" x14ac:dyDescent="0.35">
      <c r="A9" s="98"/>
      <c r="B9" s="98"/>
      <c r="C9" s="98"/>
      <c r="D9" s="98"/>
      <c r="E9" s="98"/>
      <c r="F9" s="98"/>
      <c r="G9" s="98"/>
      <c r="H9" s="5" t="s">
        <v>10</v>
      </c>
      <c r="I9" s="5" t="s">
        <v>11</v>
      </c>
      <c r="J9" s="98"/>
      <c r="K9" s="98"/>
      <c r="L9" s="98"/>
      <c r="M9" s="98"/>
    </row>
    <row r="10" spans="1:13" x14ac:dyDescent="0.35">
      <c r="A10" s="94" t="str">
        <f>L45</f>
        <v>NA</v>
      </c>
      <c r="B10" s="94"/>
      <c r="C10" s="94"/>
      <c r="D10" s="93" t="str">
        <f>H58</f>
        <v>NA</v>
      </c>
      <c r="E10" s="94"/>
      <c r="F10" s="94" t="str">
        <f>F69</f>
        <v>NA</v>
      </c>
      <c r="G10" s="94"/>
      <c r="H10" s="48" t="str">
        <f>H76</f>
        <v>NA</v>
      </c>
      <c r="I10" s="48">
        <f>M87</f>
        <v>0</v>
      </c>
      <c r="J10" s="99"/>
      <c r="K10" s="99"/>
      <c r="L10" s="99"/>
      <c r="M10" s="99"/>
    </row>
    <row r="11" spans="1:13" x14ac:dyDescent="0.35">
      <c r="A11" s="94"/>
      <c r="B11" s="94"/>
      <c r="C11" s="94"/>
      <c r="D11" s="94"/>
      <c r="E11" s="94"/>
      <c r="F11" s="94"/>
      <c r="G11" s="94"/>
      <c r="H11" s="94">
        <f>IF(H10="NA", I10, IF(H10+I10&lt;10, H10+I10, 10))</f>
        <v>0</v>
      </c>
      <c r="I11" s="94"/>
      <c r="J11" s="99"/>
      <c r="K11" s="99"/>
      <c r="L11" s="99"/>
      <c r="M11" s="99"/>
    </row>
    <row r="12" spans="1:13" x14ac:dyDescent="0.35">
      <c r="A12" s="4"/>
      <c r="B12" s="96"/>
      <c r="C12" s="96"/>
      <c r="D12" s="4"/>
      <c r="E12" s="4"/>
      <c r="F12" s="4"/>
      <c r="G12" s="4"/>
      <c r="H12" s="4"/>
      <c r="I12" s="4"/>
      <c r="J12" s="4"/>
      <c r="K12" s="4"/>
      <c r="L12" s="4"/>
      <c r="M12" s="4"/>
    </row>
    <row r="13" spans="1:13" ht="18.5" x14ac:dyDescent="0.35">
      <c r="A13" s="95" t="s">
        <v>4</v>
      </c>
      <c r="B13" s="95"/>
      <c r="C13" s="95"/>
      <c r="D13" s="95"/>
      <c r="E13" s="95"/>
      <c r="F13" s="95"/>
      <c r="G13" s="95"/>
      <c r="H13" s="95"/>
      <c r="I13" s="95"/>
      <c r="J13" s="95"/>
      <c r="K13" s="95"/>
      <c r="L13" s="95"/>
      <c r="M13" s="95"/>
    </row>
    <row r="14" spans="1:13" ht="52" x14ac:dyDescent="0.35">
      <c r="A14" s="6"/>
      <c r="B14" s="135" t="s">
        <v>12</v>
      </c>
      <c r="C14" s="135"/>
      <c r="D14" s="135"/>
      <c r="E14" s="135"/>
      <c r="F14" s="135"/>
      <c r="G14" s="135"/>
      <c r="H14" s="7" t="s">
        <v>13</v>
      </c>
      <c r="I14" s="7" t="s">
        <v>14</v>
      </c>
      <c r="J14" s="7" t="s">
        <v>15</v>
      </c>
      <c r="K14" s="7" t="s">
        <v>16</v>
      </c>
      <c r="L14" s="7" t="s">
        <v>17</v>
      </c>
      <c r="M14" s="7" t="s">
        <v>18</v>
      </c>
    </row>
    <row r="15" spans="1:13" ht="45.25" customHeight="1" x14ac:dyDescent="0.35">
      <c r="A15" s="103" t="s">
        <v>19</v>
      </c>
      <c r="B15" s="8">
        <v>1</v>
      </c>
      <c r="C15" s="110" t="s">
        <v>25</v>
      </c>
      <c r="D15" s="110"/>
      <c r="E15" s="110"/>
      <c r="F15" s="110"/>
      <c r="G15" s="110"/>
      <c r="H15" s="51" t="str">
        <f>'ES - Detail'!E6</f>
        <v>NA</v>
      </c>
      <c r="I15" s="48">
        <v>100</v>
      </c>
      <c r="J15" s="52" t="str">
        <f>'ES - Detail'!L6</f>
        <v>NA</v>
      </c>
      <c r="K15" s="48" t="s">
        <v>20</v>
      </c>
      <c r="L15" s="48" t="str">
        <f>IF(M15="NA", "NA", 10)</f>
        <v>NA</v>
      </c>
      <c r="M15" s="9" t="str">
        <f>IF(J15="NA", "NA", IF(J15="TFS", "NA", IF(J15="", "NA", ROUND(J15/10,3))))</f>
        <v>NA</v>
      </c>
    </row>
    <row r="16" spans="1:13" ht="45.25" customHeight="1" x14ac:dyDescent="0.35">
      <c r="A16" s="103"/>
      <c r="B16" s="8">
        <v>2</v>
      </c>
      <c r="C16" s="110" t="s">
        <v>26</v>
      </c>
      <c r="D16" s="110"/>
      <c r="E16" s="110"/>
      <c r="F16" s="110"/>
      <c r="G16" s="110"/>
      <c r="H16" s="51" t="str">
        <f>'ES - Detail'!E7</f>
        <v>NA</v>
      </c>
      <c r="I16" s="48">
        <v>100</v>
      </c>
      <c r="J16" s="52" t="str">
        <f>'ES - Detail'!L7</f>
        <v>NA</v>
      </c>
      <c r="K16" s="48" t="s">
        <v>20</v>
      </c>
      <c r="L16" s="58" t="str">
        <f t="shared" ref="L16:L18" si="0">IF(M16="NA", "NA", 10)</f>
        <v>NA</v>
      </c>
      <c r="M16" s="9" t="str">
        <f>IF(J16="NA", "NA", IF(J16="TFS", "NA", IF(J16="", "NA", ROUND(J16/10,3))))</f>
        <v>NA</v>
      </c>
    </row>
    <row r="17" spans="1:13" ht="45.25" customHeight="1" x14ac:dyDescent="0.35">
      <c r="A17" s="103"/>
      <c r="B17" s="8">
        <v>3</v>
      </c>
      <c r="C17" s="110" t="s">
        <v>27</v>
      </c>
      <c r="D17" s="110"/>
      <c r="E17" s="110"/>
      <c r="F17" s="110"/>
      <c r="G17" s="110"/>
      <c r="H17" s="51" t="str">
        <f>'ES - Detail'!E8</f>
        <v>NA</v>
      </c>
      <c r="I17" s="48">
        <v>100</v>
      </c>
      <c r="J17" s="52" t="str">
        <f>'ES - Detail'!L8</f>
        <v>NA</v>
      </c>
      <c r="K17" s="48" t="s">
        <v>20</v>
      </c>
      <c r="L17" s="58" t="str">
        <f t="shared" si="0"/>
        <v>NA</v>
      </c>
      <c r="M17" s="9" t="str">
        <f>IF(J17="NA", "NA", IF(J17="TFS", "NA", IF(J17="", "NA", ROUND(J17/10,3))))</f>
        <v>NA</v>
      </c>
    </row>
    <row r="18" spans="1:13" ht="45.25" customHeight="1" x14ac:dyDescent="0.35">
      <c r="A18" s="103"/>
      <c r="B18" s="8">
        <v>4</v>
      </c>
      <c r="C18" s="110" t="s">
        <v>28</v>
      </c>
      <c r="D18" s="110"/>
      <c r="E18" s="110"/>
      <c r="F18" s="110"/>
      <c r="G18" s="110"/>
      <c r="H18" s="51" t="str">
        <f>'ES - Detail'!E9</f>
        <v>NA</v>
      </c>
      <c r="I18" s="48">
        <v>100</v>
      </c>
      <c r="J18" s="52" t="str">
        <f>'ES - Detail'!L9</f>
        <v>NA</v>
      </c>
      <c r="K18" s="48" t="s">
        <v>20</v>
      </c>
      <c r="L18" s="58" t="str">
        <f t="shared" si="0"/>
        <v>NA</v>
      </c>
      <c r="M18" s="9" t="str">
        <f>IF(J18="NA", "NA", IF(J18="TFS", "NA", IF(J18="", "NA", ROUND(J18/10,3))))</f>
        <v>NA</v>
      </c>
    </row>
    <row r="19" spans="1:13" x14ac:dyDescent="0.35">
      <c r="A19" s="103"/>
      <c r="B19" s="104"/>
      <c r="C19" s="104"/>
      <c r="D19" s="104"/>
      <c r="E19" s="104"/>
      <c r="F19" s="104"/>
      <c r="G19" s="104"/>
      <c r="H19" s="104"/>
      <c r="I19" s="105" t="s">
        <v>21</v>
      </c>
      <c r="J19" s="105"/>
      <c r="K19" s="105"/>
      <c r="L19" s="57" t="str">
        <f>IF(AND(L15="NA", L16="NA", L17="NA", L18="NA"), "NA", SUM(L15:L18))</f>
        <v>NA</v>
      </c>
      <c r="M19" s="47" t="str">
        <f>IF(AND(M15="NA", M16="NA", M17="NA", M18="NA"), "NA", SUM(M15:M18))</f>
        <v>NA</v>
      </c>
    </row>
    <row r="20" spans="1:13" x14ac:dyDescent="0.35">
      <c r="A20" s="103"/>
      <c r="B20" s="104"/>
      <c r="C20" s="104"/>
      <c r="D20" s="104"/>
      <c r="E20" s="104"/>
      <c r="F20" s="104"/>
      <c r="G20" s="104"/>
      <c r="H20" s="104"/>
      <c r="I20" s="105" t="s">
        <v>22</v>
      </c>
      <c r="J20" s="105"/>
      <c r="K20" s="105"/>
      <c r="L20" s="106" t="str">
        <f>IF(L19="NA","NA",ROUND(M19/L19,3))</f>
        <v>NA</v>
      </c>
      <c r="M20" s="106"/>
    </row>
    <row r="21" spans="1:13" x14ac:dyDescent="0.35">
      <c r="A21" s="103"/>
      <c r="B21" s="104"/>
      <c r="C21" s="104"/>
      <c r="D21" s="104"/>
      <c r="E21" s="104"/>
      <c r="F21" s="104"/>
      <c r="G21" s="104"/>
      <c r="H21" s="104"/>
      <c r="I21" s="105" t="s">
        <v>23</v>
      </c>
      <c r="J21" s="105"/>
      <c r="K21" s="105"/>
      <c r="L21" s="107">
        <v>0.4</v>
      </c>
      <c r="M21" s="108"/>
    </row>
    <row r="22" spans="1:13" x14ac:dyDescent="0.35">
      <c r="A22" s="103"/>
      <c r="B22" s="104"/>
      <c r="C22" s="104"/>
      <c r="D22" s="104"/>
      <c r="E22" s="104"/>
      <c r="F22" s="104"/>
      <c r="G22" s="104"/>
      <c r="H22" s="104"/>
      <c r="I22" s="105" t="s">
        <v>24</v>
      </c>
      <c r="J22" s="105"/>
      <c r="K22" s="105"/>
      <c r="L22" s="109" t="str">
        <f>IF(L20="NA","NA",ROUND(L20*L21,4))</f>
        <v>NA</v>
      </c>
      <c r="M22" s="109"/>
    </row>
    <row r="23" spans="1:13" ht="52" x14ac:dyDescent="0.35">
      <c r="A23" s="10"/>
      <c r="B23" s="135" t="s">
        <v>12</v>
      </c>
      <c r="C23" s="135"/>
      <c r="D23" s="135"/>
      <c r="E23" s="135"/>
      <c r="F23" s="135"/>
      <c r="G23" s="135"/>
      <c r="H23" s="7" t="s">
        <v>13</v>
      </c>
      <c r="I23" s="7" t="s">
        <v>14</v>
      </c>
      <c r="J23" s="7" t="s">
        <v>15</v>
      </c>
      <c r="K23" s="7" t="s">
        <v>16</v>
      </c>
      <c r="L23" s="7" t="s">
        <v>17</v>
      </c>
      <c r="M23" s="7" t="s">
        <v>18</v>
      </c>
    </row>
    <row r="24" spans="1:13" ht="45.25" customHeight="1" x14ac:dyDescent="0.35">
      <c r="A24" s="103" t="s">
        <v>29</v>
      </c>
      <c r="B24" s="8">
        <v>5</v>
      </c>
      <c r="C24" s="110" t="s">
        <v>30</v>
      </c>
      <c r="D24" s="110"/>
      <c r="E24" s="110"/>
      <c r="F24" s="110"/>
      <c r="G24" s="110"/>
      <c r="H24" s="48" t="s">
        <v>20</v>
      </c>
      <c r="I24" s="48">
        <v>91.3</v>
      </c>
      <c r="J24" s="52" t="str">
        <f>'ES - Detail'!E14</f>
        <v>NA</v>
      </c>
      <c r="K24" s="48" t="str">
        <f>IF(J24="TFS", "NA", IF(J24="", "NA", IF(J24="NA","NA",ROUND(IF(J24&lt;I24, (J24/I24)*100, 100), 3))))</f>
        <v>NA</v>
      </c>
      <c r="L24" s="48" t="str">
        <f>IF(M24="NA", "NA", 10)</f>
        <v>NA</v>
      </c>
      <c r="M24" s="9" t="str">
        <f>IF(K24="NA", "NA", IF(K24="TFS", "NA", IF(K24="", "NA", ROUND(K24/10,3))))</f>
        <v>NA</v>
      </c>
    </row>
    <row r="25" spans="1:13" ht="30.25" customHeight="1" x14ac:dyDescent="0.35">
      <c r="A25" s="103"/>
      <c r="B25" s="8">
        <v>6</v>
      </c>
      <c r="C25" s="110" t="s">
        <v>31</v>
      </c>
      <c r="D25" s="110"/>
      <c r="E25" s="110"/>
      <c r="F25" s="110"/>
      <c r="G25" s="110"/>
      <c r="H25" s="48" t="s">
        <v>20</v>
      </c>
      <c r="I25" s="48">
        <v>65</v>
      </c>
      <c r="J25" s="52" t="str">
        <f>'ES - Detail'!E18:E18</f>
        <v>NA</v>
      </c>
      <c r="K25" s="62" t="str">
        <f>IF(J25="TFS", "NA", IF(J25="", "NA", IF(J25="NA","NA",ROUND(IF(J25&lt;I25, (J25/I25)*100, 100), 3))))</f>
        <v>NA</v>
      </c>
      <c r="L25" s="58" t="str">
        <f t="shared" ref="L25:L29" si="1">IF(M25="NA", "NA", 10)</f>
        <v>NA</v>
      </c>
      <c r="M25" s="9" t="str">
        <f>IF(K25="NA", "NA", IF(K25="TFS", "NA", IF(K25="", "NA", ROUND(K25/10,3))))</f>
        <v>NA</v>
      </c>
    </row>
    <row r="26" spans="1:13" ht="45.25" customHeight="1" x14ac:dyDescent="0.35">
      <c r="A26" s="103"/>
      <c r="B26" s="8">
        <v>7</v>
      </c>
      <c r="C26" s="110" t="s">
        <v>32</v>
      </c>
      <c r="D26" s="110"/>
      <c r="E26" s="110"/>
      <c r="F26" s="110"/>
      <c r="G26" s="110"/>
      <c r="H26" s="48" t="s">
        <v>20</v>
      </c>
      <c r="I26" s="48">
        <v>100</v>
      </c>
      <c r="J26" s="52" t="str">
        <f>'ES - Detail'!F22</f>
        <v>NA</v>
      </c>
      <c r="K26" s="48" t="s">
        <v>20</v>
      </c>
      <c r="L26" s="58" t="str">
        <f t="shared" si="1"/>
        <v>NA</v>
      </c>
      <c r="M26" s="9" t="str">
        <f>IF(J26="NA", "NA", IF(J26="TFS", "NA", IF(J26="", "NA", ROUND(J26/10,3))))</f>
        <v>NA</v>
      </c>
    </row>
    <row r="27" spans="1:13" ht="45.25" customHeight="1" x14ac:dyDescent="0.35">
      <c r="A27" s="103"/>
      <c r="B27" s="8">
        <v>8</v>
      </c>
      <c r="C27" s="110" t="s">
        <v>33</v>
      </c>
      <c r="D27" s="110"/>
      <c r="E27" s="110"/>
      <c r="F27" s="110"/>
      <c r="G27" s="110"/>
      <c r="H27" s="48" t="s">
        <v>20</v>
      </c>
      <c r="I27" s="48">
        <v>100</v>
      </c>
      <c r="J27" s="52" t="str">
        <f>'ES - Detail'!F24</f>
        <v>NA</v>
      </c>
      <c r="K27" s="48" t="s">
        <v>20</v>
      </c>
      <c r="L27" s="58" t="str">
        <f t="shared" si="1"/>
        <v>NA</v>
      </c>
      <c r="M27" s="9" t="str">
        <f>IF(J27="NA", "NA", IF(J27="TFS", "NA", IF(J27="", "NA", ROUND(J27/10,3))))</f>
        <v>NA</v>
      </c>
    </row>
    <row r="28" spans="1:13" ht="45.25" customHeight="1" x14ac:dyDescent="0.35">
      <c r="A28" s="103"/>
      <c r="B28" s="8">
        <v>9</v>
      </c>
      <c r="C28" s="110" t="s">
        <v>34</v>
      </c>
      <c r="D28" s="110"/>
      <c r="E28" s="110"/>
      <c r="F28" s="110"/>
      <c r="G28" s="110"/>
      <c r="H28" s="48" t="s">
        <v>20</v>
      </c>
      <c r="I28" s="48">
        <v>100</v>
      </c>
      <c r="J28" s="52" t="str">
        <f>'ES - Detail'!I28</f>
        <v>NA</v>
      </c>
      <c r="K28" s="48" t="s">
        <v>20</v>
      </c>
      <c r="L28" s="58" t="str">
        <f t="shared" si="1"/>
        <v>NA</v>
      </c>
      <c r="M28" s="9" t="str">
        <f>IF(J28="NA", "NA", IF(J28="TFS", "NA", IF(J28="", "NA", ROUND(J28/10,3))))</f>
        <v>NA</v>
      </c>
    </row>
    <row r="29" spans="1:13" x14ac:dyDescent="0.35">
      <c r="A29" s="103"/>
      <c r="B29" s="8">
        <v>10</v>
      </c>
      <c r="C29" s="110" t="s">
        <v>35</v>
      </c>
      <c r="D29" s="110"/>
      <c r="E29" s="110"/>
      <c r="F29" s="110"/>
      <c r="G29" s="110"/>
      <c r="H29" s="48" t="s">
        <v>20</v>
      </c>
      <c r="I29" s="48">
        <v>68.3</v>
      </c>
      <c r="J29" s="52" t="str">
        <f>'ES - Detail'!E32</f>
        <v>NA</v>
      </c>
      <c r="K29" s="62" t="str">
        <f>IF(J29="TFS", "NA", IF(J29="", "NA", IF(J29="NA","NA",ROUND(IF(J29&lt;I29, (J29/I29)*100, 100), 3))))</f>
        <v>NA</v>
      </c>
      <c r="L29" s="58" t="str">
        <f t="shared" si="1"/>
        <v>NA</v>
      </c>
      <c r="M29" s="9" t="str">
        <f>IF(K29="NA", "NA", IF(K29="TFS", "NA", IF(K29="", "NA", ROUND(K29/10,3))))</f>
        <v>NA</v>
      </c>
    </row>
    <row r="30" spans="1:13" x14ac:dyDescent="0.35">
      <c r="A30" s="103"/>
      <c r="B30" s="104"/>
      <c r="C30" s="104"/>
      <c r="D30" s="104"/>
      <c r="E30" s="104"/>
      <c r="F30" s="104"/>
      <c r="G30" s="104"/>
      <c r="H30" s="104"/>
      <c r="I30" s="105" t="s">
        <v>21</v>
      </c>
      <c r="J30" s="105"/>
      <c r="K30" s="105"/>
      <c r="L30" s="57" t="str">
        <f>IF(AND(L24="NA", L25="NA", L26="NA", L27="NA", L28="NA", L29="NA"), "NA", SUM(L24:L29))</f>
        <v>NA</v>
      </c>
      <c r="M30" s="57" t="str">
        <f>IF(AND(M24="NA", M25="NA", M26="NA", M27="NA", M28="NA", M29="NA"), "NA", SUM(M24:M29))</f>
        <v>NA</v>
      </c>
    </row>
    <row r="31" spans="1:13" x14ac:dyDescent="0.35">
      <c r="A31" s="103"/>
      <c r="B31" s="104"/>
      <c r="C31" s="104"/>
      <c r="D31" s="104"/>
      <c r="E31" s="104"/>
      <c r="F31" s="104"/>
      <c r="G31" s="104"/>
      <c r="H31" s="104"/>
      <c r="I31" s="105" t="s">
        <v>22</v>
      </c>
      <c r="J31" s="105"/>
      <c r="K31" s="105"/>
      <c r="L31" s="106" t="str">
        <f>IF(L30="NA","NA",ROUND(M30/L30,3))</f>
        <v>NA</v>
      </c>
      <c r="M31" s="106"/>
    </row>
    <row r="32" spans="1:13" x14ac:dyDescent="0.35">
      <c r="A32" s="103"/>
      <c r="B32" s="104"/>
      <c r="C32" s="104"/>
      <c r="D32" s="104"/>
      <c r="E32" s="104"/>
      <c r="F32" s="104"/>
      <c r="G32" s="104"/>
      <c r="H32" s="104"/>
      <c r="I32" s="105" t="s">
        <v>23</v>
      </c>
      <c r="J32" s="105"/>
      <c r="K32" s="105"/>
      <c r="L32" s="107">
        <v>0.3</v>
      </c>
      <c r="M32" s="108"/>
    </row>
    <row r="33" spans="1:13" x14ac:dyDescent="0.35">
      <c r="A33" s="103"/>
      <c r="B33" s="104"/>
      <c r="C33" s="104"/>
      <c r="D33" s="104"/>
      <c r="E33" s="104"/>
      <c r="F33" s="104"/>
      <c r="G33" s="104"/>
      <c r="H33" s="104"/>
      <c r="I33" s="105" t="s">
        <v>24</v>
      </c>
      <c r="J33" s="105"/>
      <c r="K33" s="105"/>
      <c r="L33" s="109" t="str">
        <f>IF(L31="NA","NA",ROUND(L31*L32,4))</f>
        <v>NA</v>
      </c>
      <c r="M33" s="109"/>
    </row>
    <row r="34" spans="1:13" ht="52" x14ac:dyDescent="0.35">
      <c r="A34" s="10"/>
      <c r="B34" s="135" t="s">
        <v>12</v>
      </c>
      <c r="C34" s="135"/>
      <c r="D34" s="135"/>
      <c r="E34" s="135"/>
      <c r="F34" s="135"/>
      <c r="G34" s="135"/>
      <c r="H34" s="7" t="s">
        <v>13</v>
      </c>
      <c r="I34" s="7" t="s">
        <v>14</v>
      </c>
      <c r="J34" s="7" t="s">
        <v>15</v>
      </c>
      <c r="K34" s="7" t="s">
        <v>16</v>
      </c>
      <c r="L34" s="7" t="s">
        <v>17</v>
      </c>
      <c r="M34" s="7" t="s">
        <v>18</v>
      </c>
    </row>
    <row r="35" spans="1:13" ht="30.25" customHeight="1" x14ac:dyDescent="0.35">
      <c r="A35" s="103" t="s">
        <v>36</v>
      </c>
      <c r="B35" s="8">
        <v>11</v>
      </c>
      <c r="C35" s="110" t="s">
        <v>37</v>
      </c>
      <c r="D35" s="110"/>
      <c r="E35" s="110"/>
      <c r="F35" s="110"/>
      <c r="G35" s="110"/>
      <c r="H35" s="11" t="s">
        <v>20</v>
      </c>
      <c r="I35" s="48">
        <v>100</v>
      </c>
      <c r="J35" s="52" t="str">
        <f>'ES - Detail'!M38</f>
        <v>NA</v>
      </c>
      <c r="K35" s="48" t="s">
        <v>20</v>
      </c>
      <c r="L35" s="58" t="str">
        <f t="shared" ref="L35" si="2">IF(M35="NA", "NA", 10)</f>
        <v>NA</v>
      </c>
      <c r="M35" s="9" t="str">
        <f>IF(J35="NA", "NA", IF(J35="TFS", "NA", IF(J35="", "NA", ROUND(J35/10,3))))</f>
        <v>NA</v>
      </c>
    </row>
    <row r="36" spans="1:13" x14ac:dyDescent="0.35">
      <c r="A36" s="103"/>
      <c r="B36" s="104"/>
      <c r="C36" s="104"/>
      <c r="D36" s="104"/>
      <c r="E36" s="104"/>
      <c r="F36" s="104"/>
      <c r="G36" s="104"/>
      <c r="H36" s="104"/>
      <c r="I36" s="105" t="s">
        <v>21</v>
      </c>
      <c r="J36" s="105"/>
      <c r="K36" s="105"/>
      <c r="L36" s="57" t="str">
        <f>IF(L35="NA", "NA", SUM(L35))</f>
        <v>NA</v>
      </c>
      <c r="M36" s="57" t="str">
        <f>IF(M35="NA", "NA", SUM(M35))</f>
        <v>NA</v>
      </c>
    </row>
    <row r="37" spans="1:13" x14ac:dyDescent="0.35">
      <c r="A37" s="103"/>
      <c r="B37" s="104"/>
      <c r="C37" s="104"/>
      <c r="D37" s="104"/>
      <c r="E37" s="104"/>
      <c r="F37" s="104"/>
      <c r="G37" s="104"/>
      <c r="H37" s="104"/>
      <c r="I37" s="105" t="s">
        <v>22</v>
      </c>
      <c r="J37" s="105"/>
      <c r="K37" s="105"/>
      <c r="L37" s="106" t="str">
        <f>IF(L36="NA","NA",ROUND(M36/L36,3))</f>
        <v>NA</v>
      </c>
      <c r="M37" s="106"/>
    </row>
    <row r="38" spans="1:13" x14ac:dyDescent="0.35">
      <c r="A38" s="103"/>
      <c r="B38" s="104"/>
      <c r="C38" s="104"/>
      <c r="D38" s="104"/>
      <c r="E38" s="104"/>
      <c r="F38" s="104"/>
      <c r="G38" s="104"/>
      <c r="H38" s="104"/>
      <c r="I38" s="105" t="s">
        <v>23</v>
      </c>
      <c r="J38" s="105"/>
      <c r="K38" s="105"/>
      <c r="L38" s="107">
        <v>0.3</v>
      </c>
      <c r="M38" s="108"/>
    </row>
    <row r="39" spans="1:13" x14ac:dyDescent="0.35">
      <c r="A39" s="103"/>
      <c r="B39" s="104"/>
      <c r="C39" s="104"/>
      <c r="D39" s="104"/>
      <c r="E39" s="104"/>
      <c r="F39" s="104"/>
      <c r="G39" s="104"/>
      <c r="H39" s="104"/>
      <c r="I39" s="105" t="s">
        <v>24</v>
      </c>
      <c r="J39" s="105"/>
      <c r="K39" s="105"/>
      <c r="L39" s="109" t="str">
        <f>IF(L37="NA","NA",ROUND(L37*L38,4))</f>
        <v>NA</v>
      </c>
      <c r="M39" s="109"/>
    </row>
    <row r="40" spans="1:13" x14ac:dyDescent="0.35">
      <c r="A40" s="4"/>
      <c r="B40" s="4"/>
      <c r="C40" s="4"/>
      <c r="D40" s="4"/>
      <c r="E40" s="4"/>
      <c r="F40" s="4"/>
      <c r="G40" s="4"/>
      <c r="H40" s="4"/>
      <c r="I40" s="4"/>
      <c r="J40" s="4"/>
      <c r="K40" s="4"/>
      <c r="L40" s="4"/>
      <c r="M40" s="4"/>
    </row>
    <row r="41" spans="1:13" x14ac:dyDescent="0.35">
      <c r="A41" s="105" t="s">
        <v>38</v>
      </c>
      <c r="B41" s="105"/>
      <c r="C41" s="105"/>
      <c r="D41" s="105"/>
      <c r="E41" s="105"/>
      <c r="F41" s="105"/>
      <c r="G41" s="105"/>
      <c r="H41" s="105"/>
      <c r="I41" s="105"/>
      <c r="J41" s="105"/>
      <c r="K41" s="105"/>
      <c r="L41" s="109" t="str">
        <f>L22</f>
        <v>NA</v>
      </c>
      <c r="M41" s="109"/>
    </row>
    <row r="42" spans="1:13" x14ac:dyDescent="0.35">
      <c r="A42" s="105" t="s">
        <v>144</v>
      </c>
      <c r="B42" s="105"/>
      <c r="C42" s="105"/>
      <c r="D42" s="105"/>
      <c r="E42" s="105"/>
      <c r="F42" s="105"/>
      <c r="G42" s="105"/>
      <c r="H42" s="105"/>
      <c r="I42" s="105"/>
      <c r="J42" s="105"/>
      <c r="K42" s="105"/>
      <c r="L42" s="109" t="str">
        <f>L33</f>
        <v>NA</v>
      </c>
      <c r="M42" s="109"/>
    </row>
    <row r="43" spans="1:13" x14ac:dyDescent="0.35">
      <c r="A43" s="105" t="s">
        <v>145</v>
      </c>
      <c r="B43" s="105"/>
      <c r="C43" s="105"/>
      <c r="D43" s="105"/>
      <c r="E43" s="105"/>
      <c r="F43" s="105"/>
      <c r="G43" s="105"/>
      <c r="H43" s="105"/>
      <c r="I43" s="105"/>
      <c r="J43" s="105"/>
      <c r="K43" s="105"/>
      <c r="L43" s="109" t="str">
        <f>L39</f>
        <v>NA</v>
      </c>
      <c r="M43" s="109"/>
    </row>
    <row r="44" spans="1:13" x14ac:dyDescent="0.35">
      <c r="A44" s="105" t="s">
        <v>39</v>
      </c>
      <c r="B44" s="105"/>
      <c r="C44" s="105"/>
      <c r="D44" s="105"/>
      <c r="E44" s="105"/>
      <c r="F44" s="105"/>
      <c r="G44" s="105"/>
      <c r="H44" s="105"/>
      <c r="I44" s="105"/>
      <c r="J44" s="105"/>
      <c r="K44" s="105"/>
      <c r="L44" s="111" t="str">
        <f>IF(L41="NA", "NA", IF(AND(L41="NA", L42="NA", L43="NA"), "NA", SUM(L41:M43)))</f>
        <v>NA</v>
      </c>
      <c r="M44" s="111"/>
    </row>
    <row r="45" spans="1:13" x14ac:dyDescent="0.35">
      <c r="A45" s="105" t="s">
        <v>40</v>
      </c>
      <c r="B45" s="105"/>
      <c r="C45" s="105"/>
      <c r="D45" s="105"/>
      <c r="E45" s="105"/>
      <c r="F45" s="105"/>
      <c r="G45" s="105"/>
      <c r="H45" s="105"/>
      <c r="I45" s="105"/>
      <c r="J45" s="105"/>
      <c r="K45" s="112"/>
      <c r="L45" s="113" t="str">
        <f>IF(L44="NA","NA",(IF(AND(L42="NA",L43="NA"),ROUND((L44/0.4)*50,1),IF(L43="NA",ROUND(((SUM(L41:M42))/0.7)*50,1),IF(L44&lt;&gt;"NA",ROUND(L44*50,1))))))</f>
        <v>NA</v>
      </c>
      <c r="M45" s="113"/>
    </row>
    <row r="46" spans="1:13" x14ac:dyDescent="0.35">
      <c r="A46" s="4"/>
      <c r="B46" s="4"/>
      <c r="C46" s="4"/>
      <c r="D46" s="4"/>
      <c r="E46" s="4"/>
      <c r="F46" s="4"/>
      <c r="G46" s="4"/>
      <c r="H46" s="4"/>
      <c r="I46" s="4"/>
      <c r="J46" s="4"/>
      <c r="K46" s="4"/>
      <c r="L46" s="4"/>
      <c r="M46" s="4"/>
    </row>
    <row r="47" spans="1:13" ht="18.5" x14ac:dyDescent="0.35">
      <c r="A47" s="95" t="s">
        <v>5</v>
      </c>
      <c r="B47" s="95"/>
      <c r="C47" s="95"/>
      <c r="D47" s="95"/>
      <c r="E47" s="95"/>
      <c r="F47" s="95"/>
      <c r="G47" s="95"/>
      <c r="H47" s="95"/>
      <c r="I47" s="95"/>
      <c r="J47" s="95"/>
      <c r="K47" s="95"/>
      <c r="L47" s="95"/>
      <c r="M47" s="95"/>
    </row>
    <row r="48" spans="1:13" ht="30" customHeight="1" x14ac:dyDescent="0.35">
      <c r="A48" s="120" t="s">
        <v>41</v>
      </c>
      <c r="B48" s="120"/>
      <c r="C48" s="120"/>
      <c r="D48" s="120"/>
      <c r="E48" s="120"/>
      <c r="F48" s="120"/>
      <c r="G48" s="120"/>
      <c r="H48" s="114" t="s">
        <v>42</v>
      </c>
      <c r="I48" s="114"/>
      <c r="J48" s="114"/>
      <c r="K48" s="114" t="s">
        <v>43</v>
      </c>
      <c r="L48" s="114"/>
      <c r="M48" s="114"/>
    </row>
    <row r="49" spans="1:13" x14ac:dyDescent="0.35">
      <c r="A49" s="115" t="s">
        <v>44</v>
      </c>
      <c r="B49" s="115"/>
      <c r="C49" s="115"/>
      <c r="D49" s="115"/>
      <c r="E49" s="115"/>
      <c r="F49" s="115"/>
      <c r="G49" s="115"/>
      <c r="H49" s="116" t="str">
        <f>IF(K49="NA", "NA", IF(K49="TFS", "NA", 'ES - Detail'!D45))</f>
        <v>NA</v>
      </c>
      <c r="I49" s="116"/>
      <c r="J49" s="116"/>
      <c r="K49" s="119" t="str">
        <f>IF('ES - Detail'!C45="", "NA", IF('ES - Detail'!C45="NA", "NA", IF('ES - Detail'!C45&lt;15, "TFS", 'ES - Detail'!C45)))</f>
        <v>NA</v>
      </c>
      <c r="L49" s="117"/>
      <c r="M49" s="118"/>
    </row>
    <row r="50" spans="1:13" x14ac:dyDescent="0.35">
      <c r="A50" s="115" t="s">
        <v>45</v>
      </c>
      <c r="B50" s="115"/>
      <c r="C50" s="115"/>
      <c r="D50" s="115"/>
      <c r="E50" s="115"/>
      <c r="F50" s="115"/>
      <c r="G50" s="115"/>
      <c r="H50" s="116" t="str">
        <f>IF(K50="NA", "NA", IF(K50="TFS", "NA", 'ES - Detail'!F45))</f>
        <v>NA</v>
      </c>
      <c r="I50" s="117"/>
      <c r="J50" s="118"/>
      <c r="K50" s="119" t="str">
        <f>IF('ES - Detail'!E45="", "NA", IF('ES - Detail'!E45="NA", "NA", IF('ES - Detail'!E45&lt;15, "TFS", 'ES - Detail'!E45)))</f>
        <v>NA</v>
      </c>
      <c r="L50" s="117"/>
      <c r="M50" s="118"/>
    </row>
    <row r="51" spans="1:13" x14ac:dyDescent="0.35">
      <c r="A51" s="115" t="s">
        <v>46</v>
      </c>
      <c r="B51" s="115"/>
      <c r="C51" s="115"/>
      <c r="D51" s="115"/>
      <c r="E51" s="115"/>
      <c r="F51" s="115"/>
      <c r="G51" s="115"/>
      <c r="H51" s="116" t="str">
        <f>IF(K51="NA", "NA", IF(K51="TFS", "NA", 'ES - Detail'!H45))</f>
        <v>NA</v>
      </c>
      <c r="I51" s="117"/>
      <c r="J51" s="118"/>
      <c r="K51" s="119" t="str">
        <f>IF('ES - Detail'!G45="", "NA", IF('ES - Detail'!G45="NA", "NA", IF('ES - Detail'!G45&lt;15, "TFS", 'ES - Detail'!G45)))</f>
        <v>NA</v>
      </c>
      <c r="L51" s="117"/>
      <c r="M51" s="118"/>
    </row>
    <row r="52" spans="1:13" x14ac:dyDescent="0.35">
      <c r="A52" s="115" t="s">
        <v>47</v>
      </c>
      <c r="B52" s="115"/>
      <c r="C52" s="115"/>
      <c r="D52" s="115"/>
      <c r="E52" s="115"/>
      <c r="F52" s="115"/>
      <c r="G52" s="115"/>
      <c r="H52" s="119" t="str">
        <f>IF(K52="NA", "NA", IF(K52="TFS", "NA", 'ES - Detail'!J45))</f>
        <v>NA</v>
      </c>
      <c r="I52" s="117"/>
      <c r="J52" s="118"/>
      <c r="K52" s="119" t="str">
        <f>IF('ES - Detail'!I45="", "NA", IF('ES - Detail'!I45="NA", "NA", IF('ES - Detail'!I45&lt;15, "TFS", 'ES - Detail'!I45)))</f>
        <v>NA</v>
      </c>
      <c r="L52" s="117"/>
      <c r="M52" s="118"/>
    </row>
    <row r="53" spans="1:13" x14ac:dyDescent="0.35">
      <c r="A53" s="121" t="s">
        <v>48</v>
      </c>
      <c r="B53" s="121"/>
      <c r="C53" s="121"/>
      <c r="D53" s="121"/>
      <c r="E53" s="121"/>
      <c r="F53" s="121"/>
      <c r="G53" s="121"/>
      <c r="H53" s="114" t="str">
        <f>IF(AND(H49="NA", H50="NA", H51="NA", H52="NA"), "NA", SUM(H49:J52))</f>
        <v>NA</v>
      </c>
      <c r="I53" s="114"/>
      <c r="J53" s="114"/>
      <c r="K53" s="114" t="str">
        <f>IF(AND(K49="NA", K50="NA", K51="NA", K52="NA"), "NA", SUM(K49:M52))</f>
        <v>NA</v>
      </c>
      <c r="L53" s="114"/>
      <c r="M53" s="114"/>
    </row>
    <row r="54" spans="1:13" x14ac:dyDescent="0.35">
      <c r="A54" s="121" t="s">
        <v>49</v>
      </c>
      <c r="B54" s="121"/>
      <c r="C54" s="121"/>
      <c r="D54" s="121"/>
      <c r="E54" s="121"/>
      <c r="F54" s="121"/>
      <c r="G54" s="121"/>
      <c r="H54" s="123" t="str">
        <f>IF(K53&lt;15,"TFS",IF(K53="NA","NA",ROUND(H53/K53,5)))</f>
        <v>NA</v>
      </c>
      <c r="I54" s="123"/>
      <c r="J54" s="123"/>
      <c r="K54" s="123"/>
      <c r="L54" s="123"/>
      <c r="M54" s="123"/>
    </row>
    <row r="55" spans="1:13" x14ac:dyDescent="0.35">
      <c r="A55" s="121" t="s">
        <v>146</v>
      </c>
      <c r="B55" s="121"/>
      <c r="C55" s="121"/>
      <c r="D55" s="121"/>
      <c r="E55" s="121"/>
      <c r="F55" s="121"/>
      <c r="G55" s="121"/>
      <c r="H55" s="122">
        <v>0.76600000000000001</v>
      </c>
      <c r="I55" s="122"/>
      <c r="J55" s="122"/>
      <c r="K55" s="122"/>
      <c r="L55" s="122"/>
      <c r="M55" s="122"/>
    </row>
    <row r="56" spans="1:13" x14ac:dyDescent="0.35">
      <c r="A56" s="121" t="s">
        <v>50</v>
      </c>
      <c r="B56" s="121"/>
      <c r="C56" s="121"/>
      <c r="D56" s="121"/>
      <c r="E56" s="121"/>
      <c r="F56" s="121"/>
      <c r="G56" s="121"/>
      <c r="H56" s="123" t="str">
        <f>IF(H54="TFS","TFS",IF(H54="NA","NA",MIN(ROUND(H54/H55,5), 1)))</f>
        <v>NA</v>
      </c>
      <c r="I56" s="123"/>
      <c r="J56" s="123"/>
      <c r="K56" s="123"/>
      <c r="L56" s="123"/>
      <c r="M56" s="123"/>
    </row>
    <row r="57" spans="1:13" x14ac:dyDescent="0.35">
      <c r="A57" s="121" t="s">
        <v>24</v>
      </c>
      <c r="B57" s="121"/>
      <c r="C57" s="121"/>
      <c r="D57" s="121"/>
      <c r="E57" s="121"/>
      <c r="F57" s="121"/>
      <c r="G57" s="121"/>
      <c r="H57" s="126" t="str">
        <f>"("&amp;(H56)&amp;")*40"</f>
        <v>(NA)*40</v>
      </c>
      <c r="I57" s="127"/>
      <c r="J57" s="127"/>
      <c r="K57" s="127"/>
      <c r="L57" s="127"/>
      <c r="M57" s="127"/>
    </row>
    <row r="58" spans="1:13" x14ac:dyDescent="0.35">
      <c r="A58" s="121" t="s">
        <v>51</v>
      </c>
      <c r="B58" s="121"/>
      <c r="C58" s="121"/>
      <c r="D58" s="121"/>
      <c r="E58" s="121"/>
      <c r="F58" s="121"/>
      <c r="G58" s="121"/>
      <c r="H58" s="127" t="str">
        <f>IF(H56="NA","NA",(IF(H56="TFS","NA",ROUND(H56*40,1))))</f>
        <v>NA</v>
      </c>
      <c r="I58" s="127"/>
      <c r="J58" s="127"/>
      <c r="K58" s="127"/>
      <c r="L58" s="127"/>
      <c r="M58" s="127"/>
    </row>
    <row r="59" spans="1:13" x14ac:dyDescent="0.35">
      <c r="A59" s="3" t="s">
        <v>108</v>
      </c>
      <c r="B59" s="3"/>
      <c r="C59" s="3"/>
      <c r="D59" s="3"/>
      <c r="E59" s="3"/>
      <c r="F59" s="3"/>
      <c r="G59" s="3"/>
      <c r="H59" s="3"/>
      <c r="I59" s="3"/>
      <c r="J59" s="3"/>
      <c r="K59" s="3"/>
      <c r="L59" s="3"/>
      <c r="M59" s="3"/>
    </row>
    <row r="60" spans="1:13" ht="18.5" x14ac:dyDescent="0.35">
      <c r="A60" s="124" t="s">
        <v>6</v>
      </c>
      <c r="B60" s="124"/>
      <c r="C60" s="124"/>
      <c r="D60" s="124"/>
      <c r="E60" s="124"/>
      <c r="F60" s="124"/>
      <c r="G60" s="124"/>
      <c r="H60" s="124"/>
      <c r="I60" s="124"/>
      <c r="J60" s="124"/>
      <c r="K60" s="124"/>
      <c r="L60" s="124"/>
      <c r="M60" s="124"/>
    </row>
    <row r="61" spans="1:13" x14ac:dyDescent="0.35">
      <c r="A61" s="108" t="s">
        <v>41</v>
      </c>
      <c r="B61" s="108"/>
      <c r="C61" s="108"/>
      <c r="D61" s="108"/>
      <c r="E61" s="108"/>
      <c r="F61" s="108" t="s">
        <v>52</v>
      </c>
      <c r="G61" s="108"/>
      <c r="H61" s="108" t="s">
        <v>53</v>
      </c>
      <c r="I61" s="108"/>
      <c r="J61" s="125" t="s">
        <v>55</v>
      </c>
      <c r="K61" s="108"/>
      <c r="L61" s="108" t="s">
        <v>54</v>
      </c>
      <c r="M61" s="108"/>
    </row>
    <row r="62" spans="1:13" x14ac:dyDescent="0.35">
      <c r="A62" s="128" t="s">
        <v>56</v>
      </c>
      <c r="B62" s="128"/>
      <c r="C62" s="128"/>
      <c r="D62" s="128"/>
      <c r="E62" s="128"/>
      <c r="F62" s="129" t="str">
        <f>'ES - Detail'!H50</f>
        <v>NA</v>
      </c>
      <c r="G62" s="129"/>
      <c r="H62" s="129" t="str">
        <f>'ES - Detail'!K50</f>
        <v>NA</v>
      </c>
      <c r="I62" s="129"/>
      <c r="J62" s="104" t="str">
        <f>IF(AND(F62="",H62=""),"NA",IF(H62="NA","NA",IF(H62="TFS","TFS",MAX(F62,H62))))</f>
        <v>NA</v>
      </c>
      <c r="K62" s="104"/>
      <c r="L62" s="104" t="str">
        <f>IF(J62="NA","NA",IF(J62="TFS", "TFS", 3))</f>
        <v>NA</v>
      </c>
      <c r="M62" s="104"/>
    </row>
    <row r="63" spans="1:13" x14ac:dyDescent="0.35">
      <c r="A63" s="128" t="s">
        <v>57</v>
      </c>
      <c r="B63" s="128"/>
      <c r="C63" s="128"/>
      <c r="D63" s="128"/>
      <c r="E63" s="128"/>
      <c r="F63" s="129" t="str">
        <f>'ES - Detail'!H51</f>
        <v>NA</v>
      </c>
      <c r="G63" s="129"/>
      <c r="H63" s="129" t="str">
        <f>'ES - Detail'!K51</f>
        <v>NA</v>
      </c>
      <c r="I63" s="129"/>
      <c r="J63" s="104" t="str">
        <f>IF(AND(F63="",H63=""),"NA",IF(H63="NA","NA",IF(H63="TFS","TFS",MAX(F63,H63))))</f>
        <v>NA</v>
      </c>
      <c r="K63" s="104"/>
      <c r="L63" s="104" t="str">
        <f>IF(J63="NA","NA",IF(J63="TFS", "TFS", 3))</f>
        <v>NA</v>
      </c>
      <c r="M63" s="104"/>
    </row>
    <row r="64" spans="1:13" x14ac:dyDescent="0.35">
      <c r="A64" s="128" t="s">
        <v>58</v>
      </c>
      <c r="B64" s="128"/>
      <c r="C64" s="128"/>
      <c r="D64" s="128"/>
      <c r="E64" s="128"/>
      <c r="F64" s="129" t="str">
        <f>'ES - Detail'!H52</f>
        <v>NA</v>
      </c>
      <c r="G64" s="129"/>
      <c r="H64" s="129" t="str">
        <f>'ES - Detail'!K52</f>
        <v>NA</v>
      </c>
      <c r="I64" s="129"/>
      <c r="J64" s="104" t="str">
        <f>IF(AND(F64="",H64=""),"NA",IF(H64="NA","NA",IF(H64="TFS","TFS",MAX(F64,H64))))</f>
        <v>NA</v>
      </c>
      <c r="K64" s="104"/>
      <c r="L64" s="104" t="str">
        <f>IF(J64="NA","NA",IF(J64="TFS", "TFS", 3))</f>
        <v>NA</v>
      </c>
      <c r="M64" s="104"/>
    </row>
    <row r="65" spans="1:13" x14ac:dyDescent="0.35">
      <c r="A65" s="128" t="s">
        <v>59</v>
      </c>
      <c r="B65" s="128"/>
      <c r="C65" s="128"/>
      <c r="D65" s="128"/>
      <c r="E65" s="128"/>
      <c r="F65" s="129" t="str">
        <f>'ES - Detail'!H53</f>
        <v>NA</v>
      </c>
      <c r="G65" s="129"/>
      <c r="H65" s="129" t="str">
        <f>'ES - Detail'!K53</f>
        <v>NA</v>
      </c>
      <c r="I65" s="129"/>
      <c r="J65" s="104" t="str">
        <f>IF(AND(F65="",H65=""),"NA",IF(H65="NA","NA",IF(H65="TFS","TFS",MAX(F65,H65))))</f>
        <v>NA</v>
      </c>
      <c r="K65" s="104"/>
      <c r="L65" s="104" t="str">
        <f>IF(J65="NA","NA",IF(J65="TFS", "TFS", 3))</f>
        <v>NA</v>
      </c>
      <c r="M65" s="104"/>
    </row>
    <row r="66" spans="1:13" x14ac:dyDescent="0.35">
      <c r="A66" s="130" t="s">
        <v>48</v>
      </c>
      <c r="B66" s="130"/>
      <c r="C66" s="130"/>
      <c r="D66" s="130"/>
      <c r="E66" s="130"/>
      <c r="F66" s="131"/>
      <c r="G66" s="131"/>
      <c r="H66" s="131"/>
      <c r="I66" s="131"/>
      <c r="J66" s="131" t="str">
        <f>IF(AND(J62="NA",J63="NA",J64="NA",J65="NA"), "NA", IF(AND(J62="TFS",J63="TFS",J64="TFS",J65="TFS"), "NA", SUM(J62:K65)))</f>
        <v>NA</v>
      </c>
      <c r="K66" s="131"/>
      <c r="L66" s="131" t="str">
        <f>IF(AND(L62="NA",L63="NA",L64="NA",L65="NA"),"NA",IF(AND(L62="TFS",L63="TFS",L64="TFS",L65="TFS"),"NA",SUM(L62:M65)))</f>
        <v>NA</v>
      </c>
      <c r="M66" s="131"/>
    </row>
    <row r="67" spans="1:13" x14ac:dyDescent="0.35">
      <c r="A67" s="130" t="s">
        <v>60</v>
      </c>
      <c r="B67" s="130"/>
      <c r="C67" s="130"/>
      <c r="D67" s="130"/>
      <c r="E67" s="130"/>
      <c r="F67" s="132" t="str">
        <f>IF(J66="NA","NA",IF(J66=L66, 1, ROUND(J66/L66,5)))</f>
        <v>NA</v>
      </c>
      <c r="G67" s="132"/>
      <c r="H67" s="132"/>
      <c r="I67" s="132"/>
      <c r="J67" s="132"/>
      <c r="K67" s="132"/>
      <c r="L67" s="132"/>
      <c r="M67" s="132"/>
    </row>
    <row r="68" spans="1:13" x14ac:dyDescent="0.35">
      <c r="A68" s="130" t="s">
        <v>24</v>
      </c>
      <c r="B68" s="130"/>
      <c r="C68" s="130"/>
      <c r="D68" s="130"/>
      <c r="E68" s="130"/>
      <c r="F68" s="131" t="str">
        <f>"("&amp;(F67)&amp;")*10"</f>
        <v>(NA)*10</v>
      </c>
      <c r="G68" s="131"/>
      <c r="H68" s="131"/>
      <c r="I68" s="131"/>
      <c r="J68" s="131"/>
      <c r="K68" s="131"/>
      <c r="L68" s="131"/>
      <c r="M68" s="131"/>
    </row>
    <row r="69" spans="1:13" x14ac:dyDescent="0.35">
      <c r="A69" s="130" t="s">
        <v>61</v>
      </c>
      <c r="B69" s="130"/>
      <c r="C69" s="130"/>
      <c r="D69" s="130"/>
      <c r="E69" s="130"/>
      <c r="F69" s="131" t="str">
        <f>IF(F67="NA","NA",ROUND(F67*10,1))</f>
        <v>NA</v>
      </c>
      <c r="G69" s="131"/>
      <c r="H69" s="131"/>
      <c r="I69" s="131"/>
      <c r="J69" s="131"/>
      <c r="K69" s="131"/>
      <c r="L69" s="131"/>
      <c r="M69" s="131"/>
    </row>
    <row r="70" spans="1:13" x14ac:dyDescent="0.35">
      <c r="A70" s="4"/>
      <c r="B70" s="4"/>
      <c r="C70" s="4"/>
      <c r="D70" s="4"/>
      <c r="E70" s="4"/>
      <c r="F70" s="4"/>
      <c r="G70" s="4"/>
      <c r="H70" s="4"/>
      <c r="I70" s="4"/>
      <c r="J70" s="4"/>
      <c r="K70" s="4"/>
      <c r="L70" s="4"/>
      <c r="M70" s="4"/>
    </row>
    <row r="71" spans="1:13" ht="18.5" x14ac:dyDescent="0.35">
      <c r="A71" s="95" t="s">
        <v>10</v>
      </c>
      <c r="B71" s="95"/>
      <c r="C71" s="95"/>
      <c r="D71" s="95"/>
      <c r="E71" s="95"/>
      <c r="F71" s="95"/>
      <c r="G71" s="95"/>
      <c r="H71" s="95"/>
      <c r="I71" s="95"/>
      <c r="J71" s="95"/>
      <c r="K71" s="95"/>
      <c r="L71" s="95"/>
      <c r="M71" s="95"/>
    </row>
    <row r="72" spans="1:13" ht="30.25" customHeight="1" x14ac:dyDescent="0.35">
      <c r="A72" s="134" t="s">
        <v>142</v>
      </c>
      <c r="B72" s="134"/>
      <c r="C72" s="134"/>
      <c r="D72" s="134" t="s">
        <v>143</v>
      </c>
      <c r="E72" s="134"/>
      <c r="F72" s="134" t="s">
        <v>100</v>
      </c>
      <c r="G72" s="134"/>
      <c r="H72" s="134" t="s">
        <v>62</v>
      </c>
      <c r="I72" s="134"/>
      <c r="J72" s="134"/>
      <c r="K72" s="134" t="s">
        <v>63</v>
      </c>
      <c r="L72" s="134"/>
      <c r="M72" s="134"/>
    </row>
    <row r="73" spans="1:13" x14ac:dyDescent="0.35">
      <c r="A73" s="129">
        <f>'ES - Detail'!C62</f>
        <v>0</v>
      </c>
      <c r="B73" s="129"/>
      <c r="C73" s="129"/>
      <c r="D73" s="129">
        <f>'ES - Detail'!D62</f>
        <v>0</v>
      </c>
      <c r="E73" s="129"/>
      <c r="F73" s="137" t="str">
        <f>IF(A73="NA", "NA", IF(A73="TFS", "NA", IF(A73="", "NA", IF(A73=0, "NA", IF(D73&gt;A73, "NA", D73/A73)))))</f>
        <v>NA</v>
      </c>
      <c r="G73" s="137"/>
      <c r="H73" s="104">
        <v>10</v>
      </c>
      <c r="I73" s="104"/>
      <c r="J73" s="104"/>
      <c r="K73" s="133" t="str">
        <f>IF(F73="NA", "NA", ROUND(F73*H73,1))</f>
        <v>NA</v>
      </c>
      <c r="L73" s="133"/>
      <c r="M73" s="133"/>
    </row>
    <row r="74" spans="1:13" ht="60.65" customHeight="1" x14ac:dyDescent="0.35">
      <c r="A74" s="134" t="s">
        <v>64</v>
      </c>
      <c r="B74" s="134"/>
      <c r="C74" s="134"/>
      <c r="D74" s="134" t="s">
        <v>65</v>
      </c>
      <c r="E74" s="134"/>
      <c r="F74" s="134" t="s">
        <v>66</v>
      </c>
      <c r="G74" s="134"/>
      <c r="H74" s="104"/>
      <c r="I74" s="104"/>
      <c r="J74" s="104"/>
      <c r="K74" s="104"/>
      <c r="L74" s="104"/>
      <c r="M74" s="104"/>
    </row>
    <row r="75" spans="1:13" x14ac:dyDescent="0.35">
      <c r="A75" s="129" t="str">
        <f>IF('ES - Detail'!H58="","",'ES - Detail'!H58)</f>
        <v/>
      </c>
      <c r="B75" s="129"/>
      <c r="C75" s="129"/>
      <c r="D75" s="129" t="str">
        <f>IF('ES - Detail'!I58="","",'ES - Detail'!I58)</f>
        <v/>
      </c>
      <c r="E75" s="129"/>
      <c r="F75" s="137" t="str">
        <f>IF(A75="","", IF(A75=0, "NA", IF(A75="TFS", "NA", IF(A75="NA", "NA", IF(D75&gt;A75, "NA", D75/A75)))))</f>
        <v/>
      </c>
      <c r="G75" s="137"/>
      <c r="H75" s="104"/>
      <c r="I75" s="104"/>
      <c r="J75" s="104"/>
      <c r="K75" s="104"/>
      <c r="L75" s="104"/>
      <c r="M75" s="104"/>
    </row>
    <row r="76" spans="1:13" x14ac:dyDescent="0.35">
      <c r="A76" s="131" t="s">
        <v>67</v>
      </c>
      <c r="B76" s="131"/>
      <c r="C76" s="131"/>
      <c r="D76" s="131"/>
      <c r="E76" s="131"/>
      <c r="F76" s="131"/>
      <c r="G76" s="131"/>
      <c r="H76" s="131" t="str">
        <f>IF(F75="", "NA", IF(K73="NA", "NA", IF(F75="NA", "NA", ROUND(F75*K73,1))))</f>
        <v>NA</v>
      </c>
      <c r="I76" s="131"/>
      <c r="J76" s="131"/>
      <c r="K76" s="131"/>
      <c r="L76" s="131"/>
      <c r="M76" s="131"/>
    </row>
    <row r="77" spans="1:13" x14ac:dyDescent="0.35">
      <c r="A77" s="3"/>
      <c r="B77" s="3"/>
      <c r="C77" s="3"/>
      <c r="D77" s="3"/>
      <c r="E77" s="3"/>
      <c r="F77" s="3"/>
      <c r="G77" s="3"/>
      <c r="H77" s="3"/>
      <c r="I77" s="3"/>
      <c r="J77" s="3"/>
      <c r="K77" s="3"/>
      <c r="L77" s="3"/>
      <c r="M77" s="3"/>
    </row>
    <row r="78" spans="1:13" ht="18.5" x14ac:dyDescent="0.35">
      <c r="A78" s="124" t="s">
        <v>11</v>
      </c>
      <c r="B78" s="124"/>
      <c r="C78" s="124"/>
      <c r="D78" s="124"/>
      <c r="E78" s="124"/>
      <c r="F78" s="124"/>
      <c r="G78" s="124"/>
      <c r="H78" s="124"/>
      <c r="I78" s="124"/>
      <c r="J78" s="124"/>
      <c r="K78" s="124"/>
      <c r="L78" s="124"/>
      <c r="M78" s="124"/>
    </row>
    <row r="79" spans="1:13" ht="39" x14ac:dyDescent="0.35">
      <c r="A79" s="12"/>
      <c r="B79" s="136" t="s">
        <v>69</v>
      </c>
      <c r="C79" s="136"/>
      <c r="D79" s="136"/>
      <c r="E79" s="136"/>
      <c r="F79" s="136"/>
      <c r="G79" s="136"/>
      <c r="H79" s="136"/>
      <c r="I79" s="136"/>
      <c r="J79" s="13" t="s">
        <v>70</v>
      </c>
      <c r="K79" s="13" t="s">
        <v>71</v>
      </c>
      <c r="L79" s="13" t="s">
        <v>17</v>
      </c>
      <c r="M79" s="13" t="s">
        <v>18</v>
      </c>
    </row>
    <row r="80" spans="1:13" ht="45.25" customHeight="1" x14ac:dyDescent="0.35">
      <c r="A80" s="48">
        <v>1</v>
      </c>
      <c r="B80" s="110" t="s">
        <v>72</v>
      </c>
      <c r="C80" s="110"/>
      <c r="D80" s="110"/>
      <c r="E80" s="110"/>
      <c r="F80" s="110"/>
      <c r="G80" s="110"/>
      <c r="H80" s="110"/>
      <c r="I80" s="110"/>
      <c r="J80" s="48">
        <v>0.5</v>
      </c>
      <c r="K80" s="51" t="str">
        <f>'ES - Detail'!E67</f>
        <v>NA</v>
      </c>
      <c r="L80" s="48">
        <v>0.5</v>
      </c>
      <c r="M80" s="90" t="str">
        <f>IF(K80="TFS", "NA", IF(K80="NA", "NA", IF(K80&gt;=J80,0.5,0)))</f>
        <v>NA</v>
      </c>
    </row>
    <row r="81" spans="1:13" ht="30.25" customHeight="1" x14ac:dyDescent="0.35">
      <c r="A81" s="48">
        <v>2</v>
      </c>
      <c r="B81" s="110" t="s">
        <v>73</v>
      </c>
      <c r="C81" s="110"/>
      <c r="D81" s="110"/>
      <c r="E81" s="110"/>
      <c r="F81" s="110"/>
      <c r="G81" s="110"/>
      <c r="H81" s="110"/>
      <c r="I81" s="110"/>
      <c r="J81" s="48">
        <v>100</v>
      </c>
      <c r="K81" s="51" t="str">
        <f>'ES - Detail'!E71</f>
        <v>NA</v>
      </c>
      <c r="L81" s="48">
        <v>0.5</v>
      </c>
      <c r="M81" s="90" t="str">
        <f>IF(K81="TFS", "NA", IF(K81="NA", "NA", IF(K81&gt;=99.445,0.5,0)))</f>
        <v>NA</v>
      </c>
    </row>
    <row r="82" spans="1:13" ht="30.25" customHeight="1" x14ac:dyDescent="0.35">
      <c r="A82" s="48">
        <v>3</v>
      </c>
      <c r="B82" s="110" t="s">
        <v>74</v>
      </c>
      <c r="C82" s="110"/>
      <c r="D82" s="110"/>
      <c r="E82" s="110"/>
      <c r="F82" s="110"/>
      <c r="G82" s="110"/>
      <c r="H82" s="110"/>
      <c r="I82" s="110"/>
      <c r="J82" s="48" t="s">
        <v>20</v>
      </c>
      <c r="K82" s="51" t="str">
        <f>'ES - Detail'!D75</f>
        <v>NA</v>
      </c>
      <c r="L82" s="48">
        <v>0.5</v>
      </c>
      <c r="M82" s="48" t="str">
        <f>IF(K82="NA", "NA", IF(K82="Y",0.5,0))</f>
        <v>NA</v>
      </c>
    </row>
    <row r="83" spans="1:13" ht="30.25" customHeight="1" x14ac:dyDescent="0.35">
      <c r="A83" s="48">
        <v>4</v>
      </c>
      <c r="B83" s="110" t="s">
        <v>75</v>
      </c>
      <c r="C83" s="110"/>
      <c r="D83" s="110"/>
      <c r="E83" s="110"/>
      <c r="F83" s="110"/>
      <c r="G83" s="110"/>
      <c r="H83" s="110"/>
      <c r="I83" s="110"/>
      <c r="J83" s="48">
        <v>100</v>
      </c>
      <c r="K83" s="51" t="str">
        <f>'ES - Detail'!E79</f>
        <v>NA</v>
      </c>
      <c r="L83" s="48">
        <v>0.5</v>
      </c>
      <c r="M83" s="90" t="str">
        <f>IF(K83="TFS", "NA", IF(K83="NA", "NA", IF(K83&gt;=99.445,0.5,0)))</f>
        <v>NA</v>
      </c>
    </row>
    <row r="84" spans="1:13" x14ac:dyDescent="0.35">
      <c r="A84" s="48">
        <v>5</v>
      </c>
      <c r="B84" s="110" t="s">
        <v>76</v>
      </c>
      <c r="C84" s="110"/>
      <c r="D84" s="110"/>
      <c r="E84" s="110"/>
      <c r="F84" s="110"/>
      <c r="G84" s="110"/>
      <c r="H84" s="110"/>
      <c r="I84" s="110"/>
      <c r="J84" s="48" t="s">
        <v>20</v>
      </c>
      <c r="K84" s="51" t="str">
        <f>'ES - Detail'!D83</f>
        <v>NA</v>
      </c>
      <c r="L84" s="48">
        <v>0.5</v>
      </c>
      <c r="M84" s="58" t="str">
        <f>IF(K84="NA", "NA", IF(K84="Y",0.5,0))</f>
        <v>NA</v>
      </c>
    </row>
    <row r="85" spans="1:13" ht="105.75" customHeight="1" x14ac:dyDescent="0.35">
      <c r="A85" s="48">
        <v>6</v>
      </c>
      <c r="B85" s="110" t="s">
        <v>77</v>
      </c>
      <c r="C85" s="110"/>
      <c r="D85" s="110"/>
      <c r="E85" s="110"/>
      <c r="F85" s="110"/>
      <c r="G85" s="110"/>
      <c r="H85" s="110"/>
      <c r="I85" s="110"/>
      <c r="J85" s="48" t="s">
        <v>20</v>
      </c>
      <c r="K85" s="51" t="str">
        <f>'ES - Detail'!D87</f>
        <v>NA</v>
      </c>
      <c r="L85" s="48">
        <v>0.5</v>
      </c>
      <c r="M85" s="58" t="str">
        <f>IF(K85="NA", "NA", IF(K85="Y",0.5,0))</f>
        <v>NA</v>
      </c>
    </row>
    <row r="86" spans="1:13" ht="60.65" customHeight="1" x14ac:dyDescent="0.35">
      <c r="A86" s="48">
        <v>7</v>
      </c>
      <c r="B86" s="110" t="s">
        <v>78</v>
      </c>
      <c r="C86" s="110"/>
      <c r="D86" s="110"/>
      <c r="E86" s="110"/>
      <c r="F86" s="110"/>
      <c r="G86" s="110"/>
      <c r="H86" s="110"/>
      <c r="I86" s="110"/>
      <c r="J86" s="48" t="s">
        <v>20</v>
      </c>
      <c r="K86" s="51" t="str">
        <f>'ES - Detail'!D91</f>
        <v>NA</v>
      </c>
      <c r="L86" s="48">
        <v>0.5</v>
      </c>
      <c r="M86" s="58" t="str">
        <f>IF(K86="NA", "NA", IF(K86="Y",0.5,0))</f>
        <v>NA</v>
      </c>
    </row>
    <row r="87" spans="1:13" x14ac:dyDescent="0.35">
      <c r="A87" s="105" t="s">
        <v>68</v>
      </c>
      <c r="B87" s="105"/>
      <c r="C87" s="105"/>
      <c r="D87" s="105"/>
      <c r="E87" s="105"/>
      <c r="F87" s="105"/>
      <c r="G87" s="105"/>
      <c r="H87" s="105"/>
      <c r="I87" s="105"/>
      <c r="J87" s="105"/>
      <c r="K87" s="105"/>
      <c r="L87" s="105"/>
      <c r="M87" s="46">
        <f>SUM(M80:M86)</f>
        <v>0</v>
      </c>
    </row>
    <row r="88" spans="1:13" x14ac:dyDescent="0.35">
      <c r="A88" s="3"/>
      <c r="B88" s="3"/>
      <c r="C88" s="3"/>
      <c r="D88" s="3"/>
      <c r="E88" s="3"/>
      <c r="F88" s="3"/>
      <c r="G88" s="3"/>
      <c r="H88" s="3"/>
      <c r="I88" s="3"/>
      <c r="J88" s="3"/>
      <c r="K88" s="3"/>
      <c r="L88" s="3"/>
      <c r="M88" s="3"/>
    </row>
    <row r="89" spans="1:13" x14ac:dyDescent="0.35">
      <c r="A89" s="1"/>
      <c r="B89" s="1"/>
      <c r="C89" s="1"/>
      <c r="D89" s="1"/>
      <c r="E89" s="1"/>
      <c r="F89" s="1"/>
      <c r="G89" s="1"/>
      <c r="H89" s="1"/>
      <c r="I89" s="1"/>
      <c r="J89" s="1"/>
      <c r="K89" s="1"/>
      <c r="L89" s="1"/>
      <c r="M89" s="1"/>
    </row>
    <row r="90" spans="1:13" x14ac:dyDescent="0.35">
      <c r="A90" s="1"/>
      <c r="B90" s="1"/>
      <c r="C90" s="1"/>
      <c r="D90" s="1"/>
      <c r="E90" s="1"/>
      <c r="F90" s="1"/>
      <c r="G90" s="1"/>
      <c r="H90" s="1"/>
      <c r="I90" s="1"/>
      <c r="J90" s="1"/>
      <c r="K90" s="1"/>
      <c r="L90" s="1"/>
      <c r="M90" s="1"/>
    </row>
    <row r="91" spans="1:13" x14ac:dyDescent="0.35">
      <c r="A91" s="1"/>
      <c r="B91" s="1"/>
      <c r="C91" s="1"/>
      <c r="D91" s="1"/>
      <c r="E91" s="1"/>
      <c r="F91" s="1"/>
      <c r="G91" s="1"/>
      <c r="H91" s="1"/>
      <c r="I91" s="1"/>
      <c r="J91" s="1"/>
      <c r="K91" s="1"/>
      <c r="L91" s="1"/>
      <c r="M91" s="1"/>
    </row>
    <row r="92" spans="1:13" x14ac:dyDescent="0.35">
      <c r="A92" s="1"/>
      <c r="B92" s="1"/>
      <c r="C92" s="1"/>
      <c r="D92" s="1"/>
      <c r="E92" s="1"/>
      <c r="F92" s="1"/>
      <c r="G92" s="1"/>
      <c r="H92" s="1"/>
      <c r="I92" s="1"/>
      <c r="J92" s="1"/>
      <c r="K92" s="1"/>
      <c r="L92" s="1"/>
      <c r="M92" s="1"/>
    </row>
    <row r="93" spans="1:13" x14ac:dyDescent="0.35">
      <c r="A93" s="1"/>
      <c r="B93" s="1"/>
      <c r="C93" s="1"/>
      <c r="D93" s="1"/>
      <c r="E93" s="1"/>
      <c r="F93" s="1"/>
      <c r="G93" s="1"/>
      <c r="H93" s="1"/>
      <c r="I93" s="1"/>
      <c r="J93" s="1"/>
      <c r="K93" s="1"/>
      <c r="L93" s="1"/>
      <c r="M93" s="1"/>
    </row>
    <row r="94" spans="1:13" x14ac:dyDescent="0.35">
      <c r="A94" s="1"/>
      <c r="B94" s="1"/>
      <c r="C94" s="1"/>
      <c r="D94" s="1"/>
      <c r="E94" s="1"/>
      <c r="F94" s="1"/>
      <c r="G94" s="1"/>
      <c r="H94" s="1"/>
      <c r="I94" s="1"/>
      <c r="J94" s="1"/>
      <c r="K94" s="1"/>
      <c r="L94" s="1"/>
      <c r="M94" s="1"/>
    </row>
    <row r="95" spans="1:13" x14ac:dyDescent="0.35">
      <c r="A95" s="1"/>
      <c r="B95" s="1"/>
      <c r="C95" s="1"/>
      <c r="D95" s="1"/>
      <c r="E95" s="1"/>
      <c r="F95" s="1"/>
      <c r="G95" s="1"/>
      <c r="H95" s="1"/>
      <c r="I95" s="1"/>
      <c r="J95" s="1"/>
      <c r="K95" s="1"/>
      <c r="L95" s="1"/>
      <c r="M95" s="1"/>
    </row>
  </sheetData>
  <sheetProtection sheet="1" objects="1" scenarios="1" selectLockedCells="1"/>
  <mergeCells count="169">
    <mergeCell ref="B14:G14"/>
    <mergeCell ref="B23:G23"/>
    <mergeCell ref="B34:G34"/>
    <mergeCell ref="B85:I85"/>
    <mergeCell ref="B86:I86"/>
    <mergeCell ref="A87:L87"/>
    <mergeCell ref="B79:I79"/>
    <mergeCell ref="A78:M78"/>
    <mergeCell ref="B80:I80"/>
    <mergeCell ref="B81:I81"/>
    <mergeCell ref="B82:I82"/>
    <mergeCell ref="B83:I83"/>
    <mergeCell ref="B84:I84"/>
    <mergeCell ref="A75:C75"/>
    <mergeCell ref="D75:E75"/>
    <mergeCell ref="F75:G75"/>
    <mergeCell ref="H75:J75"/>
    <mergeCell ref="K75:M75"/>
    <mergeCell ref="A76:G76"/>
    <mergeCell ref="H76:M76"/>
    <mergeCell ref="A73:C73"/>
    <mergeCell ref="D73:E73"/>
    <mergeCell ref="F73:G73"/>
    <mergeCell ref="H73:J73"/>
    <mergeCell ref="K73:M73"/>
    <mergeCell ref="A74:C74"/>
    <mergeCell ref="D74:E74"/>
    <mergeCell ref="F74:G74"/>
    <mergeCell ref="H74:J74"/>
    <mergeCell ref="K74:M74"/>
    <mergeCell ref="F69:M69"/>
    <mergeCell ref="A71:M71"/>
    <mergeCell ref="A72:C72"/>
    <mergeCell ref="D72:E72"/>
    <mergeCell ref="F72:G72"/>
    <mergeCell ref="H72:J72"/>
    <mergeCell ref="K72:M72"/>
    <mergeCell ref="A66:E66"/>
    <mergeCell ref="A67:E67"/>
    <mergeCell ref="A68:E68"/>
    <mergeCell ref="A69:E69"/>
    <mergeCell ref="J66:K66"/>
    <mergeCell ref="L66:M66"/>
    <mergeCell ref="F67:M67"/>
    <mergeCell ref="H66:I66"/>
    <mergeCell ref="F66:G66"/>
    <mergeCell ref="F68:M68"/>
    <mergeCell ref="A64:E64"/>
    <mergeCell ref="F64:G64"/>
    <mergeCell ref="H64:I64"/>
    <mergeCell ref="J64:K64"/>
    <mergeCell ref="L64:M64"/>
    <mergeCell ref="A65:E65"/>
    <mergeCell ref="F65:G65"/>
    <mergeCell ref="H65:I65"/>
    <mergeCell ref="J65:K65"/>
    <mergeCell ref="L65:M65"/>
    <mergeCell ref="A62:E62"/>
    <mergeCell ref="F62:G62"/>
    <mergeCell ref="H62:I62"/>
    <mergeCell ref="J62:K62"/>
    <mergeCell ref="L62:M62"/>
    <mergeCell ref="A63:E63"/>
    <mergeCell ref="F63:G63"/>
    <mergeCell ref="H63:I63"/>
    <mergeCell ref="J63:K63"/>
    <mergeCell ref="L63:M63"/>
    <mergeCell ref="A60:M60"/>
    <mergeCell ref="L61:M61"/>
    <mergeCell ref="J61:K61"/>
    <mergeCell ref="H61:I61"/>
    <mergeCell ref="F61:G61"/>
    <mergeCell ref="A61:E61"/>
    <mergeCell ref="A57:G57"/>
    <mergeCell ref="A58:G58"/>
    <mergeCell ref="H57:M57"/>
    <mergeCell ref="H58:M58"/>
    <mergeCell ref="A55:G55"/>
    <mergeCell ref="A56:G56"/>
    <mergeCell ref="H55:M55"/>
    <mergeCell ref="H56:M56"/>
    <mergeCell ref="A53:G53"/>
    <mergeCell ref="H53:J53"/>
    <mergeCell ref="K53:M53"/>
    <mergeCell ref="A54:G54"/>
    <mergeCell ref="H54:M54"/>
    <mergeCell ref="A51:G51"/>
    <mergeCell ref="H51:J51"/>
    <mergeCell ref="K51:M51"/>
    <mergeCell ref="A52:G52"/>
    <mergeCell ref="H52:J52"/>
    <mergeCell ref="K52:M52"/>
    <mergeCell ref="H48:J48"/>
    <mergeCell ref="A48:G48"/>
    <mergeCell ref="A49:G49"/>
    <mergeCell ref="H49:J49"/>
    <mergeCell ref="K49:M49"/>
    <mergeCell ref="A50:G50"/>
    <mergeCell ref="H50:J50"/>
    <mergeCell ref="K50:M50"/>
    <mergeCell ref="A44:K44"/>
    <mergeCell ref="L44:M44"/>
    <mergeCell ref="A45:K45"/>
    <mergeCell ref="L45:M45"/>
    <mergeCell ref="A47:M47"/>
    <mergeCell ref="K48:M48"/>
    <mergeCell ref="L41:M41"/>
    <mergeCell ref="A41:K41"/>
    <mergeCell ref="A42:K42"/>
    <mergeCell ref="L42:M42"/>
    <mergeCell ref="A43:K43"/>
    <mergeCell ref="L43:M43"/>
    <mergeCell ref="I36:K36"/>
    <mergeCell ref="I37:K37"/>
    <mergeCell ref="L37:M37"/>
    <mergeCell ref="I38:K38"/>
    <mergeCell ref="L38:M38"/>
    <mergeCell ref="I39:K39"/>
    <mergeCell ref="L39:M39"/>
    <mergeCell ref="A35:A39"/>
    <mergeCell ref="C35:G35"/>
    <mergeCell ref="B36:H39"/>
    <mergeCell ref="I30:K30"/>
    <mergeCell ref="I31:K31"/>
    <mergeCell ref="L31:M31"/>
    <mergeCell ref="I32:K32"/>
    <mergeCell ref="L32:M32"/>
    <mergeCell ref="I33:K33"/>
    <mergeCell ref="L33:M33"/>
    <mergeCell ref="A24:A33"/>
    <mergeCell ref="C24:G24"/>
    <mergeCell ref="C25:G25"/>
    <mergeCell ref="C26:G26"/>
    <mergeCell ref="C29:G29"/>
    <mergeCell ref="B30:H33"/>
    <mergeCell ref="C27:G27"/>
    <mergeCell ref="C28:G28"/>
    <mergeCell ref="A15:A22"/>
    <mergeCell ref="B19:H22"/>
    <mergeCell ref="I19:K19"/>
    <mergeCell ref="I20:K20"/>
    <mergeCell ref="I21:K21"/>
    <mergeCell ref="I22:K22"/>
    <mergeCell ref="L20:M20"/>
    <mergeCell ref="L21:M21"/>
    <mergeCell ref="L22:M22"/>
    <mergeCell ref="C15:G15"/>
    <mergeCell ref="C16:G16"/>
    <mergeCell ref="C17:G17"/>
    <mergeCell ref="C18:G18"/>
    <mergeCell ref="D10:E11"/>
    <mergeCell ref="A10:C11"/>
    <mergeCell ref="A13:M13"/>
    <mergeCell ref="B12:C12"/>
    <mergeCell ref="B2:M2"/>
    <mergeCell ref="B3:M3"/>
    <mergeCell ref="H11:I11"/>
    <mergeCell ref="F8:G9"/>
    <mergeCell ref="D8:E9"/>
    <mergeCell ref="A8:C9"/>
    <mergeCell ref="J8:K9"/>
    <mergeCell ref="L8:M9"/>
    <mergeCell ref="J10:K11"/>
    <mergeCell ref="L10:M11"/>
    <mergeCell ref="F10:G11"/>
    <mergeCell ref="A5:M5"/>
    <mergeCell ref="A6:M6"/>
    <mergeCell ref="A7:M7"/>
    <mergeCell ref="H8:I8"/>
  </mergeCells>
  <pageMargins left="0.25" right="0.25" top="0.75" bottom="0.75" header="0.2" footer="0.2"/>
  <pageSetup orientation="landscape" r:id="rId1"/>
  <headerFooter>
    <oddHeader>&amp;C2016 CCRPI Calculator
Elementary Schools</oddHeader>
  </headerFooter>
  <rowBreaks count="4" manualBreakCount="4">
    <brk id="22" max="16383" man="1"/>
    <brk id="33" max="16383" man="1"/>
    <brk id="59" max="16383" man="1"/>
    <brk id="7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91"/>
  <sheetViews>
    <sheetView workbookViewId="0">
      <selection activeCell="C6" sqref="C6"/>
    </sheetView>
  </sheetViews>
  <sheetFormatPr defaultColWidth="9.1796875" defaultRowHeight="14.5" x14ac:dyDescent="0.35"/>
  <cols>
    <col min="1" max="1" width="3.81640625" style="20" customWidth="1"/>
    <col min="2" max="2" width="39.81640625" style="20" bestFit="1" customWidth="1"/>
    <col min="3" max="13" width="12.1796875" style="20" customWidth="1"/>
    <col min="14" max="16384" width="9.1796875" style="20"/>
  </cols>
  <sheetData>
    <row r="1" spans="1:13" ht="18.5" x14ac:dyDescent="0.35">
      <c r="A1" s="91" t="s">
        <v>4</v>
      </c>
      <c r="B1" s="91"/>
      <c r="C1" s="91"/>
      <c r="D1" s="91"/>
      <c r="E1" s="91"/>
      <c r="F1" s="91"/>
      <c r="G1" s="91"/>
      <c r="H1" s="91"/>
      <c r="I1" s="91"/>
      <c r="J1" s="91"/>
      <c r="K1" s="91"/>
      <c r="L1" s="91"/>
      <c r="M1" s="91"/>
    </row>
    <row r="3" spans="1:13" ht="15.5" x14ac:dyDescent="0.35">
      <c r="A3" s="144" t="s">
        <v>19</v>
      </c>
      <c r="B3" s="144"/>
      <c r="C3" s="144"/>
      <c r="D3" s="144"/>
      <c r="E3" s="144"/>
      <c r="F3" s="144"/>
      <c r="G3" s="144"/>
      <c r="H3" s="144"/>
      <c r="I3" s="144"/>
      <c r="J3" s="144"/>
      <c r="K3" s="144"/>
      <c r="L3" s="144"/>
      <c r="M3" s="145"/>
    </row>
    <row r="4" spans="1:13" ht="15" thickBot="1" x14ac:dyDescent="0.4">
      <c r="A4" s="146" t="s">
        <v>109</v>
      </c>
      <c r="B4" s="146"/>
      <c r="C4" s="146"/>
      <c r="D4" s="146"/>
      <c r="E4" s="146"/>
      <c r="F4" s="146"/>
      <c r="G4" s="147"/>
      <c r="H4" s="147"/>
      <c r="I4" s="147"/>
      <c r="J4" s="147"/>
      <c r="K4" s="146"/>
      <c r="L4" s="146"/>
      <c r="M4" s="23"/>
    </row>
    <row r="5" spans="1:13" s="21" customFormat="1" ht="44" thickBot="1" x14ac:dyDescent="0.4">
      <c r="A5" s="15"/>
      <c r="B5" s="15" t="s">
        <v>80</v>
      </c>
      <c r="C5" s="15" t="s">
        <v>82</v>
      </c>
      <c r="D5" s="15" t="s">
        <v>83</v>
      </c>
      <c r="E5" s="15" t="s">
        <v>81</v>
      </c>
      <c r="F5" s="33" t="s">
        <v>84</v>
      </c>
      <c r="G5" s="36" t="s">
        <v>85</v>
      </c>
      <c r="H5" s="37" t="s">
        <v>86</v>
      </c>
      <c r="I5" s="37" t="s">
        <v>87</v>
      </c>
      <c r="J5" s="38" t="s">
        <v>88</v>
      </c>
      <c r="K5" s="34" t="s">
        <v>107</v>
      </c>
      <c r="L5" s="15" t="s">
        <v>89</v>
      </c>
      <c r="M5" s="24"/>
    </row>
    <row r="6" spans="1:13" x14ac:dyDescent="0.35">
      <c r="A6" s="16">
        <v>1</v>
      </c>
      <c r="B6" s="16" t="s">
        <v>79</v>
      </c>
      <c r="C6" s="53"/>
      <c r="D6" s="53"/>
      <c r="E6" s="17" t="str">
        <f>IF(C6="","NA", IF(D6&gt;C6, "NA", IF(C6&lt;15,"TFS", ROUND((D6/C6)*100,3))))</f>
        <v>NA</v>
      </c>
      <c r="F6" s="53"/>
      <c r="G6" s="54"/>
      <c r="H6" s="54"/>
      <c r="I6" s="54"/>
      <c r="J6" s="54"/>
      <c r="K6" s="18">
        <f>G6*0.5+H6*1+I6*1+J6*1.5</f>
        <v>0</v>
      </c>
      <c r="L6" s="18" t="str">
        <f>IF(F6="", "NA", IF(F6=0, "NA", IF(F6&lt;15, "TFS", ROUND((K6/F6)*100,3))))</f>
        <v>NA</v>
      </c>
      <c r="M6" s="23"/>
    </row>
    <row r="7" spans="1:13" x14ac:dyDescent="0.35">
      <c r="A7" s="16">
        <v>2</v>
      </c>
      <c r="B7" s="16" t="s">
        <v>45</v>
      </c>
      <c r="C7" s="53"/>
      <c r="D7" s="53"/>
      <c r="E7" s="17" t="str">
        <f t="shared" ref="E7:E9" si="0">IF(C7="","NA", IF(D7&gt;C7, "NA", IF(C7&lt;15,"TFS", ROUND((D7/C7)*100,3))))</f>
        <v>NA</v>
      </c>
      <c r="F7" s="53"/>
      <c r="G7" s="53"/>
      <c r="H7" s="53"/>
      <c r="I7" s="53"/>
      <c r="J7" s="53"/>
      <c r="K7" s="18">
        <f t="shared" ref="K7:K9" si="1">G7*0.5+H7*1+I7*1+J7*1.5</f>
        <v>0</v>
      </c>
      <c r="L7" s="18" t="str">
        <f t="shared" ref="L7:L9" si="2">IF(F7="", "NA", IF(F7=0, "NA", IF(F7&lt;15, "TFS", ROUND((K7/F7)*100,3))))</f>
        <v>NA</v>
      </c>
      <c r="M7" s="23"/>
    </row>
    <row r="8" spans="1:13" x14ac:dyDescent="0.35">
      <c r="A8" s="16">
        <v>3</v>
      </c>
      <c r="B8" s="16" t="s">
        <v>46</v>
      </c>
      <c r="C8" s="53"/>
      <c r="D8" s="53"/>
      <c r="E8" s="17" t="str">
        <f t="shared" si="0"/>
        <v>NA</v>
      </c>
      <c r="F8" s="53"/>
      <c r="G8" s="53"/>
      <c r="H8" s="53"/>
      <c r="I8" s="53"/>
      <c r="J8" s="53"/>
      <c r="K8" s="18">
        <f t="shared" si="1"/>
        <v>0</v>
      </c>
      <c r="L8" s="18" t="str">
        <f t="shared" si="2"/>
        <v>NA</v>
      </c>
      <c r="M8" s="23"/>
    </row>
    <row r="9" spans="1:13" x14ac:dyDescent="0.35">
      <c r="A9" s="16">
        <v>4</v>
      </c>
      <c r="B9" s="16" t="s">
        <v>47</v>
      </c>
      <c r="C9" s="53"/>
      <c r="D9" s="53"/>
      <c r="E9" s="17" t="str">
        <f t="shared" si="0"/>
        <v>NA</v>
      </c>
      <c r="F9" s="53"/>
      <c r="G9" s="53"/>
      <c r="H9" s="53"/>
      <c r="I9" s="53"/>
      <c r="J9" s="53"/>
      <c r="K9" s="18">
        <f t="shared" si="1"/>
        <v>0</v>
      </c>
      <c r="L9" s="18" t="str">
        <f t="shared" si="2"/>
        <v>NA</v>
      </c>
      <c r="M9" s="23"/>
    </row>
    <row r="10" spans="1:13" x14ac:dyDescent="0.35">
      <c r="A10" s="25"/>
      <c r="B10" s="25"/>
      <c r="C10" s="25"/>
      <c r="D10" s="25"/>
      <c r="E10" s="25"/>
      <c r="F10" s="25"/>
      <c r="G10" s="25"/>
      <c r="H10" s="25"/>
      <c r="I10" s="25"/>
      <c r="J10" s="25"/>
      <c r="K10" s="25"/>
      <c r="L10" s="25"/>
    </row>
    <row r="11" spans="1:13" ht="15.5" x14ac:dyDescent="0.35">
      <c r="A11" s="144" t="s">
        <v>29</v>
      </c>
      <c r="B11" s="144"/>
      <c r="C11" s="144"/>
      <c r="D11" s="144"/>
      <c r="E11" s="144"/>
      <c r="F11" s="145"/>
      <c r="G11" s="145"/>
      <c r="H11" s="145"/>
      <c r="I11" s="145"/>
      <c r="J11" s="145"/>
      <c r="K11" s="145"/>
      <c r="L11" s="145"/>
      <c r="M11" s="145"/>
    </row>
    <row r="12" spans="1:13" x14ac:dyDescent="0.35">
      <c r="A12" s="146" t="s">
        <v>110</v>
      </c>
      <c r="B12" s="146"/>
      <c r="C12" s="146"/>
      <c r="D12" s="146"/>
      <c r="E12" s="146"/>
      <c r="F12" s="26"/>
      <c r="G12" s="22"/>
      <c r="H12" s="22"/>
    </row>
    <row r="13" spans="1:13" ht="87" x14ac:dyDescent="0.35">
      <c r="A13" s="27"/>
      <c r="B13" s="27"/>
      <c r="C13" s="15" t="s">
        <v>101</v>
      </c>
      <c r="D13" s="15" t="s">
        <v>102</v>
      </c>
      <c r="E13" s="15" t="s">
        <v>71</v>
      </c>
      <c r="F13" s="23"/>
    </row>
    <row r="14" spans="1:13" x14ac:dyDescent="0.35">
      <c r="A14" s="16">
        <v>5</v>
      </c>
      <c r="B14" s="28" t="s">
        <v>90</v>
      </c>
      <c r="C14" s="53"/>
      <c r="D14" s="53"/>
      <c r="E14" s="18" t="str">
        <f>IF(C14="","NA",IF(C14=0,"NA",IF(C14&lt;15,"TFS",IF(D14="","NA",IF(D14&gt;C14,"NA",ROUND((D14/C14)*100,3))))))</f>
        <v>NA</v>
      </c>
      <c r="F14" s="23"/>
    </row>
    <row r="15" spans="1:13" x14ac:dyDescent="0.35">
      <c r="A15" s="29"/>
      <c r="B15" s="29"/>
      <c r="C15" s="29"/>
      <c r="D15" s="29"/>
      <c r="E15" s="29"/>
    </row>
    <row r="16" spans="1:13" x14ac:dyDescent="0.35">
      <c r="A16" s="146" t="s">
        <v>111</v>
      </c>
      <c r="B16" s="146"/>
      <c r="C16" s="146"/>
      <c r="D16" s="146"/>
      <c r="E16" s="146"/>
      <c r="F16" s="26"/>
      <c r="G16" s="22"/>
      <c r="H16" s="22"/>
    </row>
    <row r="17" spans="1:10" ht="174" x14ac:dyDescent="0.35">
      <c r="A17" s="27"/>
      <c r="B17" s="27"/>
      <c r="C17" s="15" t="s">
        <v>112</v>
      </c>
      <c r="D17" s="15" t="s">
        <v>96</v>
      </c>
      <c r="E17" s="15" t="s">
        <v>71</v>
      </c>
      <c r="F17" s="23"/>
    </row>
    <row r="18" spans="1:10" x14ac:dyDescent="0.35">
      <c r="A18" s="16">
        <v>6</v>
      </c>
      <c r="B18" s="28" t="s">
        <v>91</v>
      </c>
      <c r="C18" s="53"/>
      <c r="D18" s="53"/>
      <c r="E18" s="18" t="str">
        <f>IF(C18="","NA",IF(C18=0,"NA",IF(C18&lt;15,"TFS",IF(D18="","NA",IF(D18&gt;C18,"NA",ROUND((D18/C18)*100,3))))))</f>
        <v>NA</v>
      </c>
      <c r="F18" s="23"/>
    </row>
    <row r="19" spans="1:10" x14ac:dyDescent="0.35">
      <c r="A19" s="29"/>
      <c r="B19" s="29"/>
      <c r="C19" s="29"/>
      <c r="D19" s="29"/>
      <c r="E19" s="29"/>
      <c r="F19" s="30"/>
    </row>
    <row r="20" spans="1:10" x14ac:dyDescent="0.35">
      <c r="A20" s="146" t="s">
        <v>113</v>
      </c>
      <c r="B20" s="146"/>
      <c r="C20" s="146"/>
      <c r="D20" s="146"/>
      <c r="E20" s="146"/>
      <c r="F20" s="146"/>
      <c r="G20" s="23"/>
    </row>
    <row r="21" spans="1:10" ht="72.5" x14ac:dyDescent="0.35">
      <c r="A21" s="27"/>
      <c r="B21" s="27"/>
      <c r="C21" s="15" t="s">
        <v>97</v>
      </c>
      <c r="D21" s="15" t="s">
        <v>114</v>
      </c>
      <c r="E21" s="15" t="s">
        <v>115</v>
      </c>
      <c r="F21" s="15" t="s">
        <v>71</v>
      </c>
      <c r="G21" s="23"/>
    </row>
    <row r="22" spans="1:10" x14ac:dyDescent="0.35">
      <c r="A22" s="16">
        <v>7</v>
      </c>
      <c r="B22" s="28" t="s">
        <v>95</v>
      </c>
      <c r="C22" s="18">
        <v>3</v>
      </c>
      <c r="D22" s="53"/>
      <c r="E22" s="53"/>
      <c r="F22" s="18" t="str">
        <f>IF(D22="","NA",IF(D22=0,"NA",IF(D22&lt;15,"TFS",IF(E22="","NA",IF(E22&gt;D22,"NA",ROUND((E22/D22)*100,3))))))</f>
        <v>NA</v>
      </c>
      <c r="G22" s="23"/>
    </row>
    <row r="23" spans="1:10" ht="72.5" x14ac:dyDescent="0.35">
      <c r="A23" s="27"/>
      <c r="B23" s="27"/>
      <c r="C23" s="15" t="s">
        <v>98</v>
      </c>
      <c r="D23" s="15" t="s">
        <v>114</v>
      </c>
      <c r="E23" s="15" t="s">
        <v>116</v>
      </c>
      <c r="F23" s="15" t="s">
        <v>71</v>
      </c>
      <c r="G23" s="23"/>
    </row>
    <row r="24" spans="1:10" x14ac:dyDescent="0.35">
      <c r="A24" s="16">
        <v>8</v>
      </c>
      <c r="B24" s="28" t="s">
        <v>92</v>
      </c>
      <c r="C24" s="18">
        <v>5</v>
      </c>
      <c r="D24" s="53"/>
      <c r="E24" s="53"/>
      <c r="F24" s="18" t="str">
        <f>IF(D24="","NA",IF(D24=0,"NA",IF(D24&lt;15,"TFS",IF(E24="","NA",IF(E24&gt;D24,"NA",ROUND((E24/D24)*100,3))))))</f>
        <v>NA</v>
      </c>
      <c r="G24" s="23"/>
    </row>
    <row r="25" spans="1:10" x14ac:dyDescent="0.35">
      <c r="A25" s="29"/>
      <c r="B25" s="29"/>
      <c r="C25" s="29"/>
      <c r="D25" s="29"/>
      <c r="E25" s="29"/>
      <c r="F25" s="29"/>
      <c r="G25" s="30"/>
      <c r="H25" s="30"/>
      <c r="I25" s="30"/>
    </row>
    <row r="26" spans="1:10" ht="15" thickBot="1" x14ac:dyDescent="0.4">
      <c r="A26" s="141" t="s">
        <v>117</v>
      </c>
      <c r="B26" s="142"/>
      <c r="C26" s="148"/>
      <c r="D26" s="142"/>
      <c r="E26" s="148"/>
      <c r="F26" s="142"/>
      <c r="G26" s="142"/>
      <c r="H26" s="142"/>
      <c r="I26" s="143"/>
      <c r="J26" s="23"/>
    </row>
    <row r="27" spans="1:10" ht="73" thickBot="1" x14ac:dyDescent="0.4">
      <c r="A27" s="27"/>
      <c r="B27" s="74"/>
      <c r="C27" s="19" t="s">
        <v>103</v>
      </c>
      <c r="D27" s="35" t="s">
        <v>118</v>
      </c>
      <c r="E27" s="19" t="s">
        <v>104</v>
      </c>
      <c r="F27" s="34" t="s">
        <v>119</v>
      </c>
      <c r="G27" s="15" t="s">
        <v>121</v>
      </c>
      <c r="H27" s="15" t="s">
        <v>120</v>
      </c>
      <c r="I27" s="15" t="s">
        <v>71</v>
      </c>
      <c r="J27" s="23"/>
    </row>
    <row r="28" spans="1:10" x14ac:dyDescent="0.35">
      <c r="A28" s="16">
        <v>9</v>
      </c>
      <c r="B28" s="28" t="s">
        <v>93</v>
      </c>
      <c r="C28" s="54"/>
      <c r="D28" s="53"/>
      <c r="E28" s="54"/>
      <c r="F28" s="53"/>
      <c r="G28" s="18">
        <f>C28+E28</f>
        <v>0</v>
      </c>
      <c r="H28" s="18">
        <f>D28+F28</f>
        <v>0</v>
      </c>
      <c r="I28" s="18" t="str">
        <f>IF(G28="","NA",IF(G28=0,"NA",IF(G28&lt;15,"TFS",IF(H28="","NA",IF(H28&gt;G28,"NA",ROUND((H28/G28)*100,3))))))</f>
        <v>NA</v>
      </c>
      <c r="J28" s="23"/>
    </row>
    <row r="29" spans="1:10" ht="15" thickBot="1" x14ac:dyDescent="0.4">
      <c r="A29" s="29"/>
      <c r="B29" s="31"/>
      <c r="C29" s="29"/>
      <c r="D29" s="29"/>
      <c r="E29" s="29"/>
      <c r="F29" s="60"/>
      <c r="G29" s="25"/>
      <c r="H29" s="25"/>
      <c r="I29" s="25"/>
    </row>
    <row r="30" spans="1:10" ht="15" thickBot="1" x14ac:dyDescent="0.4">
      <c r="A30" s="149" t="s">
        <v>122</v>
      </c>
      <c r="B30" s="148"/>
      <c r="C30" s="148"/>
      <c r="D30" s="148"/>
      <c r="E30" s="148"/>
      <c r="F30" s="61"/>
      <c r="G30" s="23"/>
    </row>
    <row r="31" spans="1:10" ht="29.5" thickBot="1" x14ac:dyDescent="0.4">
      <c r="A31" s="27"/>
      <c r="B31" s="32"/>
      <c r="C31" s="15" t="s">
        <v>105</v>
      </c>
      <c r="D31" s="15" t="s">
        <v>106</v>
      </c>
      <c r="E31" s="15" t="s">
        <v>71</v>
      </c>
      <c r="F31" s="59"/>
      <c r="G31" s="23"/>
    </row>
    <row r="32" spans="1:10" ht="15" thickBot="1" x14ac:dyDescent="0.4">
      <c r="A32" s="16">
        <v>10</v>
      </c>
      <c r="B32" s="28" t="s">
        <v>94</v>
      </c>
      <c r="C32" s="53"/>
      <c r="D32" s="53"/>
      <c r="E32" s="18" t="str">
        <f>IF(C32="","NA",IF(C32=0,"NA",IF(C32&lt;15,"TFS",IF(D32="","NA",IF(D32&gt;C32,"NA",ROUND((D32/C32)*100,3))))))</f>
        <v>NA</v>
      </c>
      <c r="F32" s="59"/>
      <c r="G32" s="23"/>
    </row>
    <row r="33" spans="1:14" x14ac:dyDescent="0.35">
      <c r="A33" s="25"/>
      <c r="B33" s="25"/>
      <c r="C33" s="25"/>
      <c r="D33" s="25"/>
      <c r="E33" s="25"/>
      <c r="F33" s="25"/>
    </row>
    <row r="34" spans="1:14" ht="15.5" x14ac:dyDescent="0.35">
      <c r="A34" s="144" t="s">
        <v>36</v>
      </c>
      <c r="B34" s="144"/>
      <c r="C34" s="144"/>
      <c r="D34" s="144"/>
      <c r="E34" s="144"/>
      <c r="F34" s="144"/>
      <c r="G34" s="144"/>
      <c r="H34" s="144"/>
      <c r="I34" s="144"/>
      <c r="J34" s="144"/>
      <c r="K34" s="144"/>
      <c r="L34" s="144"/>
      <c r="M34" s="144"/>
    </row>
    <row r="35" spans="1:14" x14ac:dyDescent="0.35">
      <c r="A35" s="141" t="s">
        <v>109</v>
      </c>
      <c r="B35" s="142"/>
      <c r="C35" s="142"/>
      <c r="D35" s="142"/>
      <c r="E35" s="142"/>
      <c r="F35" s="142"/>
      <c r="G35" s="142"/>
      <c r="H35" s="142"/>
      <c r="I35" s="142"/>
      <c r="J35" s="142"/>
      <c r="K35" s="142"/>
      <c r="L35" s="142"/>
      <c r="M35" s="143"/>
      <c r="N35" s="23"/>
    </row>
    <row r="36" spans="1:14" ht="15" thickBot="1" x14ac:dyDescent="0.4">
      <c r="A36" s="16"/>
      <c r="B36" s="16"/>
      <c r="C36" s="150" t="s">
        <v>79</v>
      </c>
      <c r="D36" s="151"/>
      <c r="E36" s="150" t="s">
        <v>45</v>
      </c>
      <c r="F36" s="151"/>
      <c r="G36" s="150" t="s">
        <v>46</v>
      </c>
      <c r="H36" s="151"/>
      <c r="I36" s="150" t="s">
        <v>47</v>
      </c>
      <c r="J36" s="151"/>
      <c r="K36" s="16"/>
      <c r="L36" s="16"/>
      <c r="M36" s="16"/>
      <c r="N36" s="23"/>
    </row>
    <row r="37" spans="1:14" ht="44" thickBot="1" x14ac:dyDescent="0.4">
      <c r="A37" s="27"/>
      <c r="B37" s="27"/>
      <c r="C37" s="33" t="s">
        <v>84</v>
      </c>
      <c r="D37" s="19" t="s">
        <v>99</v>
      </c>
      <c r="E37" s="35" t="s">
        <v>84</v>
      </c>
      <c r="F37" s="19" t="s">
        <v>99</v>
      </c>
      <c r="G37" s="35" t="s">
        <v>84</v>
      </c>
      <c r="H37" s="19" t="s">
        <v>99</v>
      </c>
      <c r="I37" s="35" t="s">
        <v>84</v>
      </c>
      <c r="J37" s="19" t="s">
        <v>99</v>
      </c>
      <c r="K37" s="34" t="s">
        <v>124</v>
      </c>
      <c r="L37" s="15" t="s">
        <v>125</v>
      </c>
      <c r="M37" s="15" t="s">
        <v>71</v>
      </c>
      <c r="N37" s="23"/>
    </row>
    <row r="38" spans="1:14" x14ac:dyDescent="0.35">
      <c r="A38" s="16">
        <v>11</v>
      </c>
      <c r="B38" s="16" t="s">
        <v>123</v>
      </c>
      <c r="C38" s="53"/>
      <c r="D38" s="54"/>
      <c r="E38" s="53"/>
      <c r="F38" s="54"/>
      <c r="G38" s="53"/>
      <c r="H38" s="54"/>
      <c r="I38" s="53"/>
      <c r="J38" s="54"/>
      <c r="K38" s="18">
        <f>C38+E38+G38+I38</f>
        <v>0</v>
      </c>
      <c r="L38" s="18">
        <f>D38+F38+H38+J38</f>
        <v>0</v>
      </c>
      <c r="M38" s="18" t="str">
        <f>IF(K38="","NA",IF(K38=0,"NA",IF(K38&lt;15,"TFS",IF(L38="","NA",IF(L38&gt;K38,"NA",ROUND((L38/K38)*100,3))))))</f>
        <v>NA</v>
      </c>
      <c r="N38" s="23"/>
    </row>
    <row r="39" spans="1:14" x14ac:dyDescent="0.35">
      <c r="A39" s="25"/>
      <c r="B39" s="25"/>
      <c r="C39" s="25"/>
      <c r="D39" s="25"/>
      <c r="E39" s="25"/>
      <c r="F39" s="25"/>
      <c r="G39" s="25"/>
      <c r="H39" s="25"/>
      <c r="I39" s="25"/>
      <c r="J39" s="25"/>
      <c r="K39" s="25"/>
      <c r="L39" s="25"/>
      <c r="M39" s="25"/>
    </row>
    <row r="41" spans="1:14" ht="18.5" x14ac:dyDescent="0.35">
      <c r="A41" s="152" t="s">
        <v>5</v>
      </c>
      <c r="B41" s="152"/>
      <c r="C41" s="152"/>
      <c r="D41" s="152"/>
      <c r="E41" s="152"/>
      <c r="F41" s="152"/>
      <c r="G41" s="152"/>
      <c r="H41" s="152"/>
      <c r="I41" s="152"/>
      <c r="J41" s="152"/>
      <c r="K41" s="152"/>
      <c r="L41" s="152"/>
      <c r="M41" s="152"/>
    </row>
    <row r="42" spans="1:14" x14ac:dyDescent="0.35">
      <c r="A42" s="138" t="s">
        <v>126</v>
      </c>
      <c r="B42" s="139"/>
      <c r="C42" s="139"/>
      <c r="D42" s="139"/>
      <c r="E42" s="139"/>
      <c r="F42" s="139"/>
      <c r="G42" s="139"/>
      <c r="H42" s="139"/>
      <c r="I42" s="139"/>
      <c r="J42" s="140"/>
      <c r="K42" s="23"/>
    </row>
    <row r="43" spans="1:14" ht="31.5" customHeight="1" thickBot="1" x14ac:dyDescent="0.4">
      <c r="A43" s="16"/>
      <c r="B43" s="16"/>
      <c r="C43" s="153" t="s">
        <v>128</v>
      </c>
      <c r="D43" s="154"/>
      <c r="E43" s="153" t="s">
        <v>129</v>
      </c>
      <c r="F43" s="154"/>
      <c r="G43" s="153" t="s">
        <v>130</v>
      </c>
      <c r="H43" s="154"/>
      <c r="I43" s="153" t="s">
        <v>131</v>
      </c>
      <c r="J43" s="154"/>
    </row>
    <row r="44" spans="1:14" ht="58.5" thickBot="1" x14ac:dyDescent="0.4">
      <c r="A44" s="27"/>
      <c r="B44" s="27"/>
      <c r="C44" s="33" t="s">
        <v>84</v>
      </c>
      <c r="D44" s="19" t="s">
        <v>127</v>
      </c>
      <c r="E44" s="33" t="s">
        <v>84</v>
      </c>
      <c r="F44" s="19" t="s">
        <v>127</v>
      </c>
      <c r="G44" s="33" t="s">
        <v>84</v>
      </c>
      <c r="H44" s="19" t="s">
        <v>127</v>
      </c>
      <c r="I44" s="33" t="s">
        <v>84</v>
      </c>
      <c r="J44" s="19" t="s">
        <v>127</v>
      </c>
    </row>
    <row r="45" spans="1:14" x14ac:dyDescent="0.35">
      <c r="A45" s="16"/>
      <c r="B45" s="16" t="s">
        <v>5</v>
      </c>
      <c r="C45" s="53"/>
      <c r="D45" s="54"/>
      <c r="E45" s="53"/>
      <c r="F45" s="54"/>
      <c r="G45" s="53"/>
      <c r="H45" s="54"/>
      <c r="I45" s="53"/>
      <c r="J45" s="54"/>
    </row>
    <row r="47" spans="1:14" ht="18.5" x14ac:dyDescent="0.35">
      <c r="A47" s="152" t="s">
        <v>6</v>
      </c>
      <c r="B47" s="152"/>
      <c r="C47" s="152"/>
      <c r="D47" s="152"/>
      <c r="E47" s="152"/>
      <c r="F47" s="152"/>
      <c r="G47" s="152"/>
      <c r="H47" s="152"/>
      <c r="I47" s="152"/>
      <c r="J47" s="152"/>
      <c r="K47" s="152"/>
      <c r="L47" s="152"/>
      <c r="M47" s="152"/>
    </row>
    <row r="48" spans="1:14" x14ac:dyDescent="0.35">
      <c r="A48" s="138" t="s">
        <v>132</v>
      </c>
      <c r="B48" s="139"/>
      <c r="C48" s="139"/>
      <c r="D48" s="139"/>
      <c r="E48" s="139"/>
      <c r="F48" s="139"/>
      <c r="G48" s="139"/>
      <c r="H48" s="139"/>
      <c r="I48" s="139"/>
      <c r="J48" s="139"/>
      <c r="K48" s="140"/>
      <c r="L48" s="23"/>
    </row>
    <row r="49" spans="1:13" s="41" customFormat="1" ht="87" x14ac:dyDescent="0.35">
      <c r="A49" s="40"/>
      <c r="B49" s="40"/>
      <c r="C49" s="39" t="s">
        <v>84</v>
      </c>
      <c r="D49" s="39" t="s">
        <v>137</v>
      </c>
      <c r="E49" s="39" t="s">
        <v>133</v>
      </c>
      <c r="F49" s="39" t="s">
        <v>134</v>
      </c>
      <c r="G49" s="39" t="s">
        <v>52</v>
      </c>
      <c r="H49" s="39" t="s">
        <v>135</v>
      </c>
      <c r="I49" s="39" t="s">
        <v>138</v>
      </c>
      <c r="J49" s="39" t="s">
        <v>139</v>
      </c>
      <c r="K49" s="39" t="s">
        <v>136</v>
      </c>
      <c r="L49" s="42"/>
    </row>
    <row r="50" spans="1:13" x14ac:dyDescent="0.35">
      <c r="A50" s="16"/>
      <c r="B50" s="16" t="s">
        <v>79</v>
      </c>
      <c r="C50" s="53"/>
      <c r="D50" s="55"/>
      <c r="E50" s="53"/>
      <c r="F50" s="18">
        <v>0</v>
      </c>
      <c r="G50" s="18" t="str">
        <f>IF(E50="","NA",(IF(D50="","NA",IF(D50&lt;15,"TFS",ROUND(F50-E50,2)))))</f>
        <v>NA</v>
      </c>
      <c r="H50" s="18" t="str">
        <f>IF(G50="NA","NA", IF(G50="TFS", "TFS", IF(G50&gt;=1.2, 0, IF(AND(G50&gt;=0.9, G50&lt;=1.19), 1, IF(AND(G50&gt;=0.5, G50&lt;=0.89), 2, IF(G50&lt;0.5, 3, ""))))))</f>
        <v>NA</v>
      </c>
      <c r="I50" s="55"/>
      <c r="J50" s="55"/>
      <c r="K50" s="43" t="str">
        <f>IF(J50="","NA", IF(I50&lt;15, "TFS", IF(J50&lt;35, 0, IF(AND(J50&gt;=35, J50&lt;50), 1, IF(AND(J50&gt;=50, J50&lt;=65), 2, 3)))))</f>
        <v>NA</v>
      </c>
      <c r="L50" s="23"/>
    </row>
    <row r="51" spans="1:13" x14ac:dyDescent="0.35">
      <c r="A51" s="16"/>
      <c r="B51" s="16" t="s">
        <v>45</v>
      </c>
      <c r="C51" s="53"/>
      <c r="D51" s="55"/>
      <c r="E51" s="53"/>
      <c r="F51" s="18">
        <v>0</v>
      </c>
      <c r="G51" s="18" t="str">
        <f t="shared" ref="G51:G53" si="3">IF(E51="","NA",(IF(D51="","NA",IF(D51&lt;15,"TFS",ROUND(F51-E51,2)))))</f>
        <v>NA</v>
      </c>
      <c r="H51" s="18" t="str">
        <f>IF(G51="NA","NA", IF(G51="TFS", "TFS", IF(G51&gt;=1.2, 0, IF(AND(G51&gt;=0.9, G51&lt;=1.19), 1, IF(AND(G51&gt;=0.5, G51&lt;=0.89), 2, IF(G51&lt;0.5, 3, ""))))))</f>
        <v>NA</v>
      </c>
      <c r="I51" s="55"/>
      <c r="J51" s="55"/>
      <c r="K51" s="43" t="str">
        <f>IF(J51="","NA", IF(I51&lt;15, "TFS", IF(J51&lt;35, 0, IF(AND(J51&gt;=35, J51&lt;50), 1, IF(AND(J51&gt;=50, J51&lt;=65), 2, 3)))))</f>
        <v>NA</v>
      </c>
      <c r="L51" s="23"/>
    </row>
    <row r="52" spans="1:13" x14ac:dyDescent="0.35">
      <c r="A52" s="16"/>
      <c r="B52" s="16" t="s">
        <v>46</v>
      </c>
      <c r="C52" s="53"/>
      <c r="D52" s="55"/>
      <c r="E52" s="53"/>
      <c r="F52" s="18">
        <v>0</v>
      </c>
      <c r="G52" s="18" t="str">
        <f t="shared" si="3"/>
        <v>NA</v>
      </c>
      <c r="H52" s="18" t="str">
        <f>IF(G52="NA","NA", IF(G52="TFS", "TFS", IF(G52&gt;=1.2, 0, IF(AND(G52&gt;=0.9, G52&lt;=1.19), 1, IF(AND(G52&gt;=0.5, G52&lt;=0.89), 2, IF(G52&lt;0.5, 3, ""))))))</f>
        <v>NA</v>
      </c>
      <c r="I52" s="55"/>
      <c r="J52" s="55"/>
      <c r="K52" s="43" t="str">
        <f>IF(J52="","NA", IF(I52&lt;15, "TFS", IF(J52&lt;35, 0, IF(AND(J52&gt;=35, J52&lt;50), 1, IF(AND(J52&gt;=50, J52&lt;=65), 2, 3)))))</f>
        <v>NA</v>
      </c>
      <c r="L52" s="23"/>
    </row>
    <row r="53" spans="1:13" x14ac:dyDescent="0.35">
      <c r="A53" s="16"/>
      <c r="B53" s="16" t="s">
        <v>47</v>
      </c>
      <c r="C53" s="53"/>
      <c r="D53" s="55"/>
      <c r="E53" s="53"/>
      <c r="F53" s="18">
        <v>0</v>
      </c>
      <c r="G53" s="18" t="str">
        <f t="shared" si="3"/>
        <v>NA</v>
      </c>
      <c r="H53" s="18" t="str">
        <f>IF(G53="NA","NA", IF(G53="TFS", "TFS", IF(G53&gt;=1.2, 0, IF(AND(G53&gt;=0.9, G53&lt;=1.19), 1, IF(AND(G53&gt;=0.5, G53&lt;=0.89), 2, IF(G53&lt;0.5, 3, ""))))))</f>
        <v>NA</v>
      </c>
      <c r="I53" s="55"/>
      <c r="J53" s="55"/>
      <c r="K53" s="43" t="str">
        <f>IF(J53="","NA", IF(I53&lt;15, "TFS", IF(J53&lt;35, 0, IF(AND(J53&gt;=35, J53&lt;50), 1, IF(AND(J53&gt;=50, J53&lt;=65), 2, 3)))))</f>
        <v>NA</v>
      </c>
      <c r="L53" s="23"/>
    </row>
    <row r="54" spans="1:13" x14ac:dyDescent="0.35">
      <c r="A54" s="25"/>
      <c r="B54" s="25"/>
      <c r="C54" s="25"/>
      <c r="D54" s="25"/>
      <c r="E54" s="25"/>
      <c r="F54" s="25"/>
      <c r="G54" s="25"/>
      <c r="H54" s="25"/>
      <c r="I54" s="25"/>
      <c r="J54" s="25"/>
      <c r="K54" s="44"/>
    </row>
    <row r="55" spans="1:13" ht="18.5" x14ac:dyDescent="0.35">
      <c r="A55" s="152" t="s">
        <v>10</v>
      </c>
      <c r="B55" s="152"/>
      <c r="C55" s="152"/>
      <c r="D55" s="152"/>
      <c r="E55" s="152"/>
      <c r="F55" s="152"/>
      <c r="G55" s="152"/>
      <c r="H55" s="152"/>
      <c r="I55" s="152"/>
      <c r="J55" s="152"/>
      <c r="K55" s="152"/>
      <c r="L55" s="152"/>
      <c r="M55" s="152"/>
    </row>
    <row r="56" spans="1:13" ht="15" thickBot="1" x14ac:dyDescent="0.4">
      <c r="A56" s="155" t="s">
        <v>109</v>
      </c>
      <c r="B56" s="156"/>
      <c r="C56" s="156"/>
      <c r="D56" s="156"/>
      <c r="E56" s="156"/>
      <c r="F56" s="157"/>
    </row>
    <row r="57" spans="1:13" ht="131" thickBot="1" x14ac:dyDescent="0.4">
      <c r="A57" s="27"/>
      <c r="B57" s="27"/>
      <c r="C57" s="15" t="s">
        <v>84</v>
      </c>
      <c r="D57" s="19" t="s">
        <v>140</v>
      </c>
      <c r="E57" s="23"/>
      <c r="H57" s="15" t="s">
        <v>64</v>
      </c>
      <c r="I57" s="15" t="s">
        <v>141</v>
      </c>
    </row>
    <row r="58" spans="1:13" x14ac:dyDescent="0.35">
      <c r="A58" s="16"/>
      <c r="B58" s="16" t="s">
        <v>79</v>
      </c>
      <c r="C58" s="53"/>
      <c r="D58" s="53"/>
      <c r="E58" s="23"/>
      <c r="H58" s="55"/>
      <c r="I58" s="55"/>
    </row>
    <row r="59" spans="1:13" x14ac:dyDescent="0.35">
      <c r="A59" s="16"/>
      <c r="B59" s="16" t="s">
        <v>45</v>
      </c>
      <c r="C59" s="53"/>
      <c r="D59" s="53"/>
      <c r="E59" s="23"/>
      <c r="H59" s="50"/>
      <c r="I59" s="50"/>
    </row>
    <row r="60" spans="1:13" x14ac:dyDescent="0.35">
      <c r="A60" s="16"/>
      <c r="B60" s="16" t="s">
        <v>46</v>
      </c>
      <c r="C60" s="53"/>
      <c r="D60" s="53"/>
      <c r="E60" s="23"/>
    </row>
    <row r="61" spans="1:13" x14ac:dyDescent="0.35">
      <c r="A61" s="16"/>
      <c r="B61" s="16" t="s">
        <v>47</v>
      </c>
      <c r="C61" s="53"/>
      <c r="D61" s="53"/>
      <c r="E61" s="23"/>
    </row>
    <row r="62" spans="1:13" x14ac:dyDescent="0.35">
      <c r="A62" s="16"/>
      <c r="B62" s="45" t="s">
        <v>48</v>
      </c>
      <c r="C62" s="18">
        <f>SUM(C58:C61)</f>
        <v>0</v>
      </c>
      <c r="D62" s="18">
        <f>SUM(D58:D61)</f>
        <v>0</v>
      </c>
      <c r="E62" s="23"/>
    </row>
    <row r="63" spans="1:13" x14ac:dyDescent="0.35">
      <c r="A63" s="25"/>
      <c r="B63" s="25"/>
      <c r="C63" s="25"/>
      <c r="D63" s="29"/>
    </row>
    <row r="64" spans="1:13" ht="18.5" x14ac:dyDescent="0.35">
      <c r="A64" s="152" t="s">
        <v>11</v>
      </c>
      <c r="B64" s="152"/>
      <c r="C64" s="152"/>
      <c r="D64" s="152"/>
      <c r="E64" s="152"/>
      <c r="F64" s="152"/>
      <c r="G64" s="152"/>
      <c r="H64" s="152"/>
      <c r="I64" s="152"/>
      <c r="J64" s="152"/>
      <c r="K64" s="152"/>
      <c r="L64" s="152"/>
      <c r="M64" s="152"/>
    </row>
    <row r="65" spans="1:5" ht="15" thickBot="1" x14ac:dyDescent="0.4">
      <c r="A65" s="146" t="s">
        <v>151</v>
      </c>
      <c r="B65" s="146"/>
      <c r="C65" s="146"/>
      <c r="D65" s="147"/>
      <c r="E65" s="146"/>
    </row>
    <row r="66" spans="1:5" ht="44" thickBot="1" x14ac:dyDescent="0.4">
      <c r="A66" s="27"/>
      <c r="B66" s="27"/>
      <c r="C66" s="33" t="s">
        <v>153</v>
      </c>
      <c r="D66" s="19" t="s">
        <v>150</v>
      </c>
      <c r="E66" s="34" t="s">
        <v>71</v>
      </c>
    </row>
    <row r="67" spans="1:5" x14ac:dyDescent="0.35">
      <c r="A67" s="16">
        <v>1</v>
      </c>
      <c r="B67" s="28" t="s">
        <v>152</v>
      </c>
      <c r="C67" s="53"/>
      <c r="D67" s="54"/>
      <c r="E67" s="18" t="str">
        <f>IF(C67="","NA",IF(C67=0,"NA",IF(C67&lt;15,"TFS",IF(D67="","NA",IF(D67&gt;C67,"NA",ROUND((D67/C67)*100,3))))))</f>
        <v>NA</v>
      </c>
    </row>
    <row r="69" spans="1:5" ht="15" thickBot="1" x14ac:dyDescent="0.4">
      <c r="A69" s="146" t="s">
        <v>154</v>
      </c>
      <c r="B69" s="146"/>
      <c r="C69" s="146"/>
      <c r="D69" s="147"/>
      <c r="E69" s="146"/>
    </row>
    <row r="70" spans="1:5" ht="44" thickBot="1" x14ac:dyDescent="0.4">
      <c r="A70" s="27"/>
      <c r="B70" s="27"/>
      <c r="C70" s="33" t="s">
        <v>153</v>
      </c>
      <c r="D70" s="19" t="s">
        <v>150</v>
      </c>
      <c r="E70" s="34" t="s">
        <v>71</v>
      </c>
    </row>
    <row r="71" spans="1:5" x14ac:dyDescent="0.35">
      <c r="A71" s="16">
        <v>2</v>
      </c>
      <c r="B71" s="28" t="s">
        <v>155</v>
      </c>
      <c r="C71" s="53"/>
      <c r="D71" s="54"/>
      <c r="E71" s="18" t="str">
        <f>IF(C71="","NA",IF(C71=0,"NA",IF(C71&lt;15,"TFS",IF(D71="","NA",IF(D71&gt;C71,"NA",IF(ROUND((D71/C71)*100,3)&gt;=99.445, 100, ROUND((D71/C71)*100,3)))))))</f>
        <v>NA</v>
      </c>
    </row>
    <row r="72" spans="1:5" x14ac:dyDescent="0.35">
      <c r="A72" s="30"/>
      <c r="B72" s="30"/>
      <c r="C72" s="30"/>
      <c r="D72" s="30"/>
    </row>
    <row r="73" spans="1:5" x14ac:dyDescent="0.35">
      <c r="A73" s="158" t="s">
        <v>159</v>
      </c>
      <c r="B73" s="158"/>
      <c r="C73" s="158"/>
      <c r="D73" s="158"/>
      <c r="E73" s="23"/>
    </row>
    <row r="74" spans="1:5" ht="29" x14ac:dyDescent="0.35">
      <c r="A74" s="27"/>
      <c r="B74" s="27"/>
      <c r="C74" s="15" t="s">
        <v>157</v>
      </c>
      <c r="D74" s="34" t="s">
        <v>71</v>
      </c>
    </row>
    <row r="75" spans="1:5" x14ac:dyDescent="0.35">
      <c r="A75" s="16">
        <v>3</v>
      </c>
      <c r="B75" s="28" t="s">
        <v>156</v>
      </c>
      <c r="C75" s="53"/>
      <c r="D75" s="18" t="str">
        <f>IF(C75="Y",C75,IF(C75="N","N","NA"))</f>
        <v>NA</v>
      </c>
    </row>
    <row r="77" spans="1:5" ht="15" thickBot="1" x14ac:dyDescent="0.4">
      <c r="A77" s="146" t="s">
        <v>148</v>
      </c>
      <c r="B77" s="146"/>
      <c r="C77" s="146"/>
      <c r="D77" s="147"/>
      <c r="E77" s="146"/>
    </row>
    <row r="78" spans="1:5" ht="58.5" thickBot="1" x14ac:dyDescent="0.4">
      <c r="A78" s="27"/>
      <c r="B78" s="27"/>
      <c r="C78" s="33" t="s">
        <v>149</v>
      </c>
      <c r="D78" s="19" t="s">
        <v>150</v>
      </c>
      <c r="E78" s="34" t="s">
        <v>71</v>
      </c>
    </row>
    <row r="79" spans="1:5" x14ac:dyDescent="0.35">
      <c r="A79" s="16">
        <v>4</v>
      </c>
      <c r="B79" s="28" t="s">
        <v>147</v>
      </c>
      <c r="C79" s="53"/>
      <c r="D79" s="54"/>
      <c r="E79" s="18" t="str">
        <f>IF(C79="","NA",IF(C79=0,"NA",IF(C79&lt;15,"TFS",IF(D79="","NA",IF(D79&gt;C79,"NA",IF(ROUND((D79/C79)*100,3)&gt;=99.445, 100, ROUND((D79/C79)*100,3)))))))</f>
        <v>NA</v>
      </c>
    </row>
    <row r="80" spans="1:5" x14ac:dyDescent="0.35">
      <c r="A80" s="30"/>
      <c r="B80" s="30"/>
      <c r="C80" s="30"/>
      <c r="D80" s="30"/>
    </row>
    <row r="81" spans="1:5" x14ac:dyDescent="0.35">
      <c r="A81" s="158" t="s">
        <v>159</v>
      </c>
      <c r="B81" s="158"/>
      <c r="C81" s="158"/>
      <c r="D81" s="158"/>
      <c r="E81" s="23"/>
    </row>
    <row r="82" spans="1:5" ht="29" x14ac:dyDescent="0.35">
      <c r="A82" s="27"/>
      <c r="B82" s="27"/>
      <c r="C82" s="15" t="s">
        <v>157</v>
      </c>
      <c r="D82" s="34" t="s">
        <v>71</v>
      </c>
    </row>
    <row r="83" spans="1:5" x14ac:dyDescent="0.35">
      <c r="A83" s="16">
        <v>5</v>
      </c>
      <c r="B83" s="28" t="s">
        <v>158</v>
      </c>
      <c r="C83" s="53"/>
      <c r="D83" s="18" t="str">
        <f>IF(C83="Y",C83,IF(C83="N","N","NA"))</f>
        <v>NA</v>
      </c>
    </row>
    <row r="84" spans="1:5" x14ac:dyDescent="0.35">
      <c r="A84" s="30"/>
      <c r="B84" s="30"/>
      <c r="C84" s="30"/>
      <c r="D84" s="30"/>
    </row>
    <row r="85" spans="1:5" x14ac:dyDescent="0.35">
      <c r="A85" s="158" t="s">
        <v>159</v>
      </c>
      <c r="B85" s="158"/>
      <c r="C85" s="158"/>
      <c r="D85" s="158"/>
      <c r="E85" s="23"/>
    </row>
    <row r="86" spans="1:5" ht="29" x14ac:dyDescent="0.35">
      <c r="A86" s="27"/>
      <c r="B86" s="27"/>
      <c r="C86" s="15" t="s">
        <v>157</v>
      </c>
      <c r="D86" s="34" t="s">
        <v>71</v>
      </c>
    </row>
    <row r="87" spans="1:5" x14ac:dyDescent="0.35">
      <c r="A87" s="16">
        <v>6</v>
      </c>
      <c r="B87" s="28" t="s">
        <v>160</v>
      </c>
      <c r="C87" s="53"/>
      <c r="D87" s="18" t="str">
        <f>IF(C87="Y",C87,IF(C87="N","N","NA"))</f>
        <v>NA</v>
      </c>
    </row>
    <row r="88" spans="1:5" x14ac:dyDescent="0.35">
      <c r="A88" s="30"/>
      <c r="B88" s="30"/>
      <c r="C88" s="30"/>
      <c r="D88" s="30"/>
    </row>
    <row r="89" spans="1:5" x14ac:dyDescent="0.35">
      <c r="A89" s="158" t="s">
        <v>159</v>
      </c>
      <c r="B89" s="158"/>
      <c r="C89" s="158"/>
      <c r="D89" s="158"/>
      <c r="E89" s="23"/>
    </row>
    <row r="90" spans="1:5" ht="29" x14ac:dyDescent="0.35">
      <c r="A90" s="27"/>
      <c r="B90" s="27"/>
      <c r="C90" s="15" t="s">
        <v>157</v>
      </c>
      <c r="D90" s="34" t="s">
        <v>71</v>
      </c>
    </row>
    <row r="91" spans="1:5" x14ac:dyDescent="0.35">
      <c r="A91" s="16">
        <v>7</v>
      </c>
      <c r="B91" s="28" t="s">
        <v>161</v>
      </c>
      <c r="C91" s="53"/>
      <c r="D91" s="18" t="str">
        <f>IF(C91="Y",C91,IF(C91="N","N","NA"))</f>
        <v>NA</v>
      </c>
    </row>
  </sheetData>
  <sheetProtection sheet="1" objects="1" scenarios="1" selectLockedCells="1"/>
  <mergeCells count="33">
    <mergeCell ref="A73:D73"/>
    <mergeCell ref="A81:D81"/>
    <mergeCell ref="A85:D85"/>
    <mergeCell ref="A89:D89"/>
    <mergeCell ref="A77:E77"/>
    <mergeCell ref="A65:E65"/>
    <mergeCell ref="A69:E69"/>
    <mergeCell ref="A30:E30"/>
    <mergeCell ref="G36:H36"/>
    <mergeCell ref="I36:J36"/>
    <mergeCell ref="C36:D36"/>
    <mergeCell ref="E36:F36"/>
    <mergeCell ref="A41:M41"/>
    <mergeCell ref="C43:D43"/>
    <mergeCell ref="E43:F43"/>
    <mergeCell ref="G43:H43"/>
    <mergeCell ref="I43:J43"/>
    <mergeCell ref="A64:M64"/>
    <mergeCell ref="A55:M55"/>
    <mergeCell ref="A56:F56"/>
    <mergeCell ref="A47:M47"/>
    <mergeCell ref="A48:K48"/>
    <mergeCell ref="A35:M35"/>
    <mergeCell ref="A1:M1"/>
    <mergeCell ref="A3:M3"/>
    <mergeCell ref="A11:M11"/>
    <mergeCell ref="A34:M34"/>
    <mergeCell ref="A12:E12"/>
    <mergeCell ref="A16:E16"/>
    <mergeCell ref="A4:L4"/>
    <mergeCell ref="A20:F20"/>
    <mergeCell ref="A42:J42"/>
    <mergeCell ref="A26:I2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94"/>
  <sheetViews>
    <sheetView showRuler="0" view="pageLayout" zoomScaleNormal="100" workbookViewId="0">
      <selection activeCell="K48" sqref="K48:M48"/>
    </sheetView>
  </sheetViews>
  <sheetFormatPr defaultColWidth="9.1796875" defaultRowHeight="14.5" x14ac:dyDescent="0.35"/>
  <cols>
    <col min="1" max="1" width="11.1796875" style="14" customWidth="1"/>
    <col min="2" max="2" width="2.81640625" style="14" bestFit="1" customWidth="1"/>
    <col min="3" max="3" width="8.26953125" style="14" customWidth="1"/>
    <col min="4" max="13" width="11.1796875" style="14" customWidth="1"/>
    <col min="14" max="16384" width="9.1796875" style="14"/>
  </cols>
  <sheetData>
    <row r="1" spans="1:13" x14ac:dyDescent="0.35">
      <c r="A1" s="2"/>
      <c r="B1" s="2"/>
      <c r="C1" s="2"/>
      <c r="D1" s="2"/>
      <c r="E1" s="2"/>
      <c r="F1" s="2"/>
      <c r="G1" s="2"/>
      <c r="H1" s="2"/>
      <c r="I1" s="2"/>
      <c r="J1" s="2"/>
      <c r="K1" s="2"/>
      <c r="L1" s="2"/>
      <c r="M1" s="2"/>
    </row>
    <row r="2" spans="1:13" x14ac:dyDescent="0.35">
      <c r="A2" s="64" t="s">
        <v>0</v>
      </c>
      <c r="B2" s="97"/>
      <c r="C2" s="97"/>
      <c r="D2" s="97"/>
      <c r="E2" s="97"/>
      <c r="F2" s="97"/>
      <c r="G2" s="97"/>
      <c r="H2" s="97"/>
      <c r="I2" s="97"/>
      <c r="J2" s="97"/>
      <c r="K2" s="97"/>
      <c r="L2" s="97"/>
      <c r="M2" s="97"/>
    </row>
    <row r="3" spans="1:13" x14ac:dyDescent="0.35">
      <c r="A3" s="64" t="s">
        <v>1</v>
      </c>
      <c r="B3" s="97"/>
      <c r="C3" s="97"/>
      <c r="D3" s="97"/>
      <c r="E3" s="97"/>
      <c r="F3" s="97"/>
      <c r="G3" s="97"/>
      <c r="H3" s="97"/>
      <c r="I3" s="97"/>
      <c r="J3" s="97"/>
      <c r="K3" s="97"/>
      <c r="L3" s="97"/>
      <c r="M3" s="97"/>
    </row>
    <row r="4" spans="1:13" x14ac:dyDescent="0.35">
      <c r="A4" s="4"/>
      <c r="B4" s="4"/>
      <c r="C4" s="4"/>
      <c r="D4" s="4"/>
      <c r="E4" s="4"/>
      <c r="F4" s="4"/>
      <c r="G4" s="4"/>
      <c r="H4" s="4"/>
      <c r="I4" s="4"/>
      <c r="J4" s="4"/>
      <c r="K4" s="4"/>
      <c r="L4" s="4"/>
      <c r="M4" s="4"/>
    </row>
    <row r="5" spans="1:13" ht="18.5" x14ac:dyDescent="0.35">
      <c r="A5" s="95" t="s">
        <v>2</v>
      </c>
      <c r="B5" s="95"/>
      <c r="C5" s="95"/>
      <c r="D5" s="95"/>
      <c r="E5" s="95"/>
      <c r="F5" s="95"/>
      <c r="G5" s="95"/>
      <c r="H5" s="95"/>
      <c r="I5" s="95"/>
      <c r="J5" s="95"/>
      <c r="K5" s="95"/>
      <c r="L5" s="95"/>
      <c r="M5" s="95"/>
    </row>
    <row r="6" spans="1:13" x14ac:dyDescent="0.35">
      <c r="A6" s="100" t="str">
        <f>IF(A10="NA", "NA", IF(AND(A10="NA",D10="NA",F10="NA"),"NA",IF(AND(D10="NA",F10="NA"),ROUND(SUM(((A10)/50)*100)+H11,1),IF(D10="NA",ROUND(SUM(((A10+F10)/60)*100)+H11,1),IF(F10="NA",ROUND(SUM(((A10+D10)/90)*100)+H11,1),A10+D10+F10+H11)))))</f>
        <v>NA</v>
      </c>
      <c r="B6" s="101"/>
      <c r="C6" s="101"/>
      <c r="D6" s="101"/>
      <c r="E6" s="101"/>
      <c r="F6" s="101"/>
      <c r="G6" s="101"/>
      <c r="H6" s="101"/>
      <c r="I6" s="101"/>
      <c r="J6" s="101"/>
      <c r="K6" s="101"/>
      <c r="L6" s="101"/>
      <c r="M6" s="101"/>
    </row>
    <row r="7" spans="1:13" x14ac:dyDescent="0.35">
      <c r="A7" s="102" t="s">
        <v>3</v>
      </c>
      <c r="B7" s="102"/>
      <c r="C7" s="102"/>
      <c r="D7" s="102"/>
      <c r="E7" s="102"/>
      <c r="F7" s="102"/>
      <c r="G7" s="102"/>
      <c r="H7" s="102"/>
      <c r="I7" s="102"/>
      <c r="J7" s="102"/>
      <c r="K7" s="102"/>
      <c r="L7" s="102"/>
      <c r="M7" s="102"/>
    </row>
    <row r="8" spans="1:13" ht="15.5" x14ac:dyDescent="0.35">
      <c r="A8" s="98" t="s">
        <v>4</v>
      </c>
      <c r="B8" s="98"/>
      <c r="C8" s="98"/>
      <c r="D8" s="98" t="s">
        <v>5</v>
      </c>
      <c r="E8" s="98"/>
      <c r="F8" s="98" t="s">
        <v>6</v>
      </c>
      <c r="G8" s="98"/>
      <c r="H8" s="98" t="s">
        <v>7</v>
      </c>
      <c r="I8" s="98"/>
      <c r="J8" s="98" t="s">
        <v>8</v>
      </c>
      <c r="K8" s="98"/>
      <c r="L8" s="98" t="s">
        <v>9</v>
      </c>
      <c r="M8" s="98"/>
    </row>
    <row r="9" spans="1:13" ht="26" x14ac:dyDescent="0.35">
      <c r="A9" s="98"/>
      <c r="B9" s="98"/>
      <c r="C9" s="98"/>
      <c r="D9" s="98"/>
      <c r="E9" s="98"/>
      <c r="F9" s="98"/>
      <c r="G9" s="98"/>
      <c r="H9" s="5" t="s">
        <v>10</v>
      </c>
      <c r="I9" s="5" t="s">
        <v>11</v>
      </c>
      <c r="J9" s="98"/>
      <c r="K9" s="98"/>
      <c r="L9" s="98"/>
      <c r="M9" s="98"/>
    </row>
    <row r="10" spans="1:13" x14ac:dyDescent="0.35">
      <c r="A10" s="94" t="str">
        <f>L44</f>
        <v>NA</v>
      </c>
      <c r="B10" s="94"/>
      <c r="C10" s="94"/>
      <c r="D10" s="93" t="str">
        <f>H57</f>
        <v>NA</v>
      </c>
      <c r="E10" s="94"/>
      <c r="F10" s="94" t="str">
        <f>F68</f>
        <v>NA</v>
      </c>
      <c r="G10" s="94"/>
      <c r="H10" s="63" t="str">
        <f>H75</f>
        <v>NA</v>
      </c>
      <c r="I10" s="63">
        <f>M85</f>
        <v>0</v>
      </c>
      <c r="J10" s="99"/>
      <c r="K10" s="99"/>
      <c r="L10" s="99"/>
      <c r="M10" s="99"/>
    </row>
    <row r="11" spans="1:13" x14ac:dyDescent="0.35">
      <c r="A11" s="94"/>
      <c r="B11" s="94"/>
      <c r="C11" s="94"/>
      <c r="D11" s="94"/>
      <c r="E11" s="94"/>
      <c r="F11" s="94"/>
      <c r="G11" s="94"/>
      <c r="H11" s="94">
        <f>IF(H10="NA", I10, IF(H10+I10&lt;10, H10+I10, 10))</f>
        <v>0</v>
      </c>
      <c r="I11" s="94"/>
      <c r="J11" s="99"/>
      <c r="K11" s="99"/>
      <c r="L11" s="99"/>
      <c r="M11" s="99"/>
    </row>
    <row r="12" spans="1:13" x14ac:dyDescent="0.35">
      <c r="A12" s="4"/>
      <c r="B12" s="96"/>
      <c r="C12" s="96"/>
      <c r="D12" s="4"/>
      <c r="E12" s="4"/>
      <c r="F12" s="4"/>
      <c r="G12" s="4"/>
      <c r="H12" s="4"/>
      <c r="I12" s="4"/>
      <c r="J12" s="4"/>
      <c r="K12" s="4"/>
      <c r="L12" s="4"/>
      <c r="M12" s="4"/>
    </row>
    <row r="13" spans="1:13" ht="18.5" x14ac:dyDescent="0.35">
      <c r="A13" s="95" t="s">
        <v>4</v>
      </c>
      <c r="B13" s="95"/>
      <c r="C13" s="95"/>
      <c r="D13" s="95"/>
      <c r="E13" s="95"/>
      <c r="F13" s="95"/>
      <c r="G13" s="95"/>
      <c r="H13" s="95"/>
      <c r="I13" s="95"/>
      <c r="J13" s="95"/>
      <c r="K13" s="95"/>
      <c r="L13" s="95"/>
      <c r="M13" s="95"/>
    </row>
    <row r="14" spans="1:13" ht="52" x14ac:dyDescent="0.35">
      <c r="A14" s="6"/>
      <c r="B14" s="135" t="s">
        <v>12</v>
      </c>
      <c r="C14" s="135"/>
      <c r="D14" s="135"/>
      <c r="E14" s="135"/>
      <c r="F14" s="135"/>
      <c r="G14" s="135"/>
      <c r="H14" s="7" t="s">
        <v>13</v>
      </c>
      <c r="I14" s="7" t="s">
        <v>14</v>
      </c>
      <c r="J14" s="7" t="s">
        <v>15</v>
      </c>
      <c r="K14" s="7" t="s">
        <v>16</v>
      </c>
      <c r="L14" s="7" t="s">
        <v>17</v>
      </c>
      <c r="M14" s="7" t="s">
        <v>18</v>
      </c>
    </row>
    <row r="15" spans="1:13" ht="45.25" customHeight="1" x14ac:dyDescent="0.35">
      <c r="A15" s="103" t="s">
        <v>19</v>
      </c>
      <c r="B15" s="8">
        <v>1</v>
      </c>
      <c r="C15" s="110" t="s">
        <v>25</v>
      </c>
      <c r="D15" s="110"/>
      <c r="E15" s="110"/>
      <c r="F15" s="110"/>
      <c r="G15" s="110"/>
      <c r="H15" s="51" t="str">
        <f>'MS - Detail'!E6</f>
        <v>NA</v>
      </c>
      <c r="I15" s="63">
        <v>100</v>
      </c>
      <c r="J15" s="52" t="str">
        <f>'MS - Detail'!L6</f>
        <v>NA</v>
      </c>
      <c r="K15" s="63" t="s">
        <v>20</v>
      </c>
      <c r="L15" s="63" t="str">
        <f>IF(M15="NA", "NA", 10)</f>
        <v>NA</v>
      </c>
      <c r="M15" s="9" t="str">
        <f>IF(J15="NA", "NA", IF(J15="TFS", "NA", IF(J15="", "NA", ROUND(J15/10,3))))</f>
        <v>NA</v>
      </c>
    </row>
    <row r="16" spans="1:13" ht="45.25" customHeight="1" x14ac:dyDescent="0.35">
      <c r="A16" s="103"/>
      <c r="B16" s="8">
        <v>2</v>
      </c>
      <c r="C16" s="110" t="s">
        <v>26</v>
      </c>
      <c r="D16" s="110"/>
      <c r="E16" s="110"/>
      <c r="F16" s="110"/>
      <c r="G16" s="110"/>
      <c r="H16" s="51" t="str">
        <f>'MS - Detail'!E7</f>
        <v>NA</v>
      </c>
      <c r="I16" s="63">
        <v>100</v>
      </c>
      <c r="J16" s="52" t="str">
        <f>'MS - Detail'!L7</f>
        <v>NA</v>
      </c>
      <c r="K16" s="63" t="s">
        <v>20</v>
      </c>
      <c r="L16" s="63" t="str">
        <f t="shared" ref="L16:L18" si="0">IF(M16="NA", "NA", 10)</f>
        <v>NA</v>
      </c>
      <c r="M16" s="9" t="str">
        <f>IF(J16="NA", "NA", IF(J16="TFS", "NA", IF(J16="", "NA", ROUND(J16/10,3))))</f>
        <v>NA</v>
      </c>
    </row>
    <row r="17" spans="1:13" ht="45.25" customHeight="1" x14ac:dyDescent="0.35">
      <c r="A17" s="103"/>
      <c r="B17" s="8">
        <v>3</v>
      </c>
      <c r="C17" s="110" t="s">
        <v>27</v>
      </c>
      <c r="D17" s="110"/>
      <c r="E17" s="110"/>
      <c r="F17" s="110"/>
      <c r="G17" s="110"/>
      <c r="H17" s="51" t="str">
        <f>'MS - Detail'!E8</f>
        <v>NA</v>
      </c>
      <c r="I17" s="63">
        <v>100</v>
      </c>
      <c r="J17" s="52" t="str">
        <f>'MS - Detail'!L8</f>
        <v>NA</v>
      </c>
      <c r="K17" s="63" t="s">
        <v>20</v>
      </c>
      <c r="L17" s="63" t="str">
        <f t="shared" si="0"/>
        <v>NA</v>
      </c>
      <c r="M17" s="9" t="str">
        <f>IF(J17="NA", "NA", IF(J17="TFS", "NA", IF(J17="", "NA", ROUND(J17/10,3))))</f>
        <v>NA</v>
      </c>
    </row>
    <row r="18" spans="1:13" ht="45.25" customHeight="1" x14ac:dyDescent="0.35">
      <c r="A18" s="103"/>
      <c r="B18" s="8">
        <v>4</v>
      </c>
      <c r="C18" s="110" t="s">
        <v>28</v>
      </c>
      <c r="D18" s="110"/>
      <c r="E18" s="110"/>
      <c r="F18" s="110"/>
      <c r="G18" s="110"/>
      <c r="H18" s="51" t="str">
        <f>'MS - Detail'!E9</f>
        <v>NA</v>
      </c>
      <c r="I18" s="63">
        <v>100</v>
      </c>
      <c r="J18" s="52" t="str">
        <f>'MS - Detail'!L9</f>
        <v>NA</v>
      </c>
      <c r="K18" s="63" t="s">
        <v>20</v>
      </c>
      <c r="L18" s="63" t="str">
        <f t="shared" si="0"/>
        <v>NA</v>
      </c>
      <c r="M18" s="9" t="str">
        <f>IF(J18="NA", "NA", IF(J18="TFS", "NA", IF(J18="", "NA", ROUND(J18/10,3))))</f>
        <v>NA</v>
      </c>
    </row>
    <row r="19" spans="1:13" x14ac:dyDescent="0.35">
      <c r="A19" s="103"/>
      <c r="B19" s="104"/>
      <c r="C19" s="104"/>
      <c r="D19" s="104"/>
      <c r="E19" s="104"/>
      <c r="F19" s="104"/>
      <c r="G19" s="104"/>
      <c r="H19" s="104"/>
      <c r="I19" s="105" t="s">
        <v>21</v>
      </c>
      <c r="J19" s="105"/>
      <c r="K19" s="105"/>
      <c r="L19" s="66" t="str">
        <f>IF(AND(L15="NA", L16="NA", L17="NA", L18="NA"), "NA", SUM(L15:L18))</f>
        <v>NA</v>
      </c>
      <c r="M19" s="66" t="str">
        <f>IF(AND(M15="NA", M16="NA", M17="NA", M18="NA"), "NA", SUM(M15:M18))</f>
        <v>NA</v>
      </c>
    </row>
    <row r="20" spans="1:13" x14ac:dyDescent="0.35">
      <c r="A20" s="103"/>
      <c r="B20" s="104"/>
      <c r="C20" s="104"/>
      <c r="D20" s="104"/>
      <c r="E20" s="104"/>
      <c r="F20" s="104"/>
      <c r="G20" s="104"/>
      <c r="H20" s="104"/>
      <c r="I20" s="105" t="s">
        <v>22</v>
      </c>
      <c r="J20" s="105"/>
      <c r="K20" s="105"/>
      <c r="L20" s="106" t="str">
        <f>IF(L19="NA","NA",ROUND(M19/L19,3))</f>
        <v>NA</v>
      </c>
      <c r="M20" s="106"/>
    </row>
    <row r="21" spans="1:13" x14ac:dyDescent="0.35">
      <c r="A21" s="103"/>
      <c r="B21" s="104"/>
      <c r="C21" s="104"/>
      <c r="D21" s="104"/>
      <c r="E21" s="104"/>
      <c r="F21" s="104"/>
      <c r="G21" s="104"/>
      <c r="H21" s="104"/>
      <c r="I21" s="105" t="s">
        <v>23</v>
      </c>
      <c r="J21" s="105"/>
      <c r="K21" s="105"/>
      <c r="L21" s="107">
        <v>0.4</v>
      </c>
      <c r="M21" s="108"/>
    </row>
    <row r="22" spans="1:13" x14ac:dyDescent="0.35">
      <c r="A22" s="103"/>
      <c r="B22" s="104"/>
      <c r="C22" s="104"/>
      <c r="D22" s="104"/>
      <c r="E22" s="104"/>
      <c r="F22" s="104"/>
      <c r="G22" s="104"/>
      <c r="H22" s="104"/>
      <c r="I22" s="105" t="s">
        <v>24</v>
      </c>
      <c r="J22" s="105"/>
      <c r="K22" s="105"/>
      <c r="L22" s="109" t="str">
        <f>IF(L20="NA","NA",ROUND(L20*L21,4))</f>
        <v>NA</v>
      </c>
      <c r="M22" s="109"/>
    </row>
    <row r="23" spans="1:13" ht="52" x14ac:dyDescent="0.35">
      <c r="A23" s="10"/>
      <c r="B23" s="135" t="s">
        <v>12</v>
      </c>
      <c r="C23" s="135"/>
      <c r="D23" s="135"/>
      <c r="E23" s="135"/>
      <c r="F23" s="135"/>
      <c r="G23" s="135"/>
      <c r="H23" s="7" t="s">
        <v>13</v>
      </c>
      <c r="I23" s="7" t="s">
        <v>14</v>
      </c>
      <c r="J23" s="7" t="s">
        <v>15</v>
      </c>
      <c r="K23" s="7" t="s">
        <v>16</v>
      </c>
      <c r="L23" s="7" t="s">
        <v>17</v>
      </c>
      <c r="M23" s="7" t="s">
        <v>18</v>
      </c>
    </row>
    <row r="24" spans="1:13" ht="45.25" customHeight="1" x14ac:dyDescent="0.35">
      <c r="A24" s="103" t="s">
        <v>162</v>
      </c>
      <c r="B24" s="8">
        <v>5</v>
      </c>
      <c r="C24" s="110" t="s">
        <v>30</v>
      </c>
      <c r="D24" s="110"/>
      <c r="E24" s="110"/>
      <c r="F24" s="110"/>
      <c r="G24" s="110"/>
      <c r="H24" s="63" t="s">
        <v>20</v>
      </c>
      <c r="I24" s="63">
        <v>79.7</v>
      </c>
      <c r="J24" s="52" t="str">
        <f>'MS - Detail'!E14</f>
        <v>NA</v>
      </c>
      <c r="K24" s="63" t="str">
        <f>IF(J24="TFS", "NA", IF(J24="", "NA", IF(J24="NA","NA",ROUND(IF(J24&lt;I24, (J24/I24)*100, 100), 3))))</f>
        <v>NA</v>
      </c>
      <c r="L24" s="63" t="str">
        <f>IF(M24="NA", "NA", 10)</f>
        <v>NA</v>
      </c>
      <c r="M24" s="9" t="str">
        <f>IF(K24="NA", "NA", IF(K24="TFS", "NA", IF(K24="", "NA", ROUND(K24/10,3))))</f>
        <v>NA</v>
      </c>
    </row>
    <row r="25" spans="1:13" ht="30.25" customHeight="1" x14ac:dyDescent="0.35">
      <c r="A25" s="103"/>
      <c r="B25" s="8">
        <v>6</v>
      </c>
      <c r="C25" s="110" t="s">
        <v>31</v>
      </c>
      <c r="D25" s="110"/>
      <c r="E25" s="110"/>
      <c r="F25" s="110"/>
      <c r="G25" s="110"/>
      <c r="H25" s="63" t="s">
        <v>20</v>
      </c>
      <c r="I25" s="63">
        <v>65</v>
      </c>
      <c r="J25" s="52" t="str">
        <f>'MS - Detail'!E18:E18</f>
        <v>NA</v>
      </c>
      <c r="K25" s="63" t="str">
        <f>IF(J25="TFS", "NA", IF(J25="", "NA", IF(J25="NA","NA",ROUND(IF(J25&lt;I25, (J25/I25)*100, 100), 3))))</f>
        <v>NA</v>
      </c>
      <c r="L25" s="63" t="str">
        <f t="shared" ref="L25:L28" si="1">IF(M25="NA", "NA", 10)</f>
        <v>NA</v>
      </c>
      <c r="M25" s="9" t="str">
        <f>IF(K25="NA", "NA", IF(K25="TFS", "NA", IF(K25="", "NA", ROUND(K25/10,3))))</f>
        <v>NA</v>
      </c>
    </row>
    <row r="26" spans="1:13" ht="45.25" customHeight="1" x14ac:dyDescent="0.35">
      <c r="A26" s="103"/>
      <c r="B26" s="8">
        <v>7</v>
      </c>
      <c r="C26" s="110" t="s">
        <v>163</v>
      </c>
      <c r="D26" s="110"/>
      <c r="E26" s="110"/>
      <c r="F26" s="110"/>
      <c r="G26" s="110"/>
      <c r="H26" s="63" t="s">
        <v>20</v>
      </c>
      <c r="I26" s="63">
        <v>100</v>
      </c>
      <c r="J26" s="52" t="str">
        <f>'MS - Detail'!F22</f>
        <v>NA</v>
      </c>
      <c r="K26" s="63" t="s">
        <v>20</v>
      </c>
      <c r="L26" s="63" t="str">
        <f t="shared" si="1"/>
        <v>NA</v>
      </c>
      <c r="M26" s="9" t="str">
        <f>IF(J26="NA", "NA", IF(J26="TFS", "NA", IF(J26="", "NA", ROUND(J26/10,3))))</f>
        <v>NA</v>
      </c>
    </row>
    <row r="27" spans="1:13" ht="45.25" customHeight="1" x14ac:dyDescent="0.35">
      <c r="A27" s="103"/>
      <c r="B27" s="8">
        <v>8</v>
      </c>
      <c r="C27" s="110" t="s">
        <v>164</v>
      </c>
      <c r="D27" s="110"/>
      <c r="E27" s="110"/>
      <c r="F27" s="110"/>
      <c r="G27" s="110"/>
      <c r="H27" s="63" t="s">
        <v>20</v>
      </c>
      <c r="I27" s="63">
        <v>100</v>
      </c>
      <c r="J27" s="52" t="str">
        <f>'MS - Detail'!E26</f>
        <v>NA</v>
      </c>
      <c r="K27" s="63" t="s">
        <v>20</v>
      </c>
      <c r="L27" s="63" t="str">
        <f t="shared" si="1"/>
        <v>NA</v>
      </c>
      <c r="M27" s="9" t="str">
        <f>IF(J27="NA", "NA", IF(J27="TFS", "NA", IF(J27="", "NA", ROUND(J27/10,3))))</f>
        <v>NA</v>
      </c>
    </row>
    <row r="28" spans="1:13" x14ac:dyDescent="0.35">
      <c r="A28" s="103"/>
      <c r="B28" s="8">
        <v>9</v>
      </c>
      <c r="C28" s="110" t="s">
        <v>35</v>
      </c>
      <c r="D28" s="110"/>
      <c r="E28" s="110"/>
      <c r="F28" s="110"/>
      <c r="G28" s="110"/>
      <c r="H28" s="63" t="s">
        <v>20</v>
      </c>
      <c r="I28" s="63">
        <v>77.7</v>
      </c>
      <c r="J28" s="52" t="str">
        <f>'MS - Detail'!E30</f>
        <v>NA</v>
      </c>
      <c r="K28" s="63" t="str">
        <f>IF(J28="TFS", "NA", IF(J28="", "NA", IF(J28="NA","NA",ROUND(IF(J28&lt;I28, (J28/I28)*100, 100), 3))))</f>
        <v>NA</v>
      </c>
      <c r="L28" s="63" t="str">
        <f t="shared" si="1"/>
        <v>NA</v>
      </c>
      <c r="M28" s="9" t="str">
        <f>IF(K28="NA", "NA", IF(K28="TFS", "NA", IF(K28="", "NA", ROUND(K28/10,3))))</f>
        <v>NA</v>
      </c>
    </row>
    <row r="29" spans="1:13" x14ac:dyDescent="0.35">
      <c r="A29" s="103"/>
      <c r="B29" s="104"/>
      <c r="C29" s="104"/>
      <c r="D29" s="104"/>
      <c r="E29" s="104"/>
      <c r="F29" s="104"/>
      <c r="G29" s="104"/>
      <c r="H29" s="104"/>
      <c r="I29" s="105" t="s">
        <v>21</v>
      </c>
      <c r="J29" s="105"/>
      <c r="K29" s="105"/>
      <c r="L29" s="66" t="str">
        <f>IF(AND(L24="NA", L25="NA", L26="NA", L27="NA", L28="NA"), "NA", SUM(L24:L28))</f>
        <v>NA</v>
      </c>
      <c r="M29" s="66" t="str">
        <f>IF(AND(M24="NA", M25="NA", M26="NA", M27="NA", M28="NA"), "NA", SUM(M24:M28))</f>
        <v>NA</v>
      </c>
    </row>
    <row r="30" spans="1:13" x14ac:dyDescent="0.35">
      <c r="A30" s="103"/>
      <c r="B30" s="104"/>
      <c r="C30" s="104"/>
      <c r="D30" s="104"/>
      <c r="E30" s="104"/>
      <c r="F30" s="104"/>
      <c r="G30" s="104"/>
      <c r="H30" s="104"/>
      <c r="I30" s="105" t="s">
        <v>22</v>
      </c>
      <c r="J30" s="105"/>
      <c r="K30" s="105"/>
      <c r="L30" s="106" t="str">
        <f>IF(L29="NA","NA",ROUND(M29/L29,3))</f>
        <v>NA</v>
      </c>
      <c r="M30" s="106"/>
    </row>
    <row r="31" spans="1:13" x14ac:dyDescent="0.35">
      <c r="A31" s="103"/>
      <c r="B31" s="104"/>
      <c r="C31" s="104"/>
      <c r="D31" s="104"/>
      <c r="E31" s="104"/>
      <c r="F31" s="104"/>
      <c r="G31" s="104"/>
      <c r="H31" s="104"/>
      <c r="I31" s="105" t="s">
        <v>23</v>
      </c>
      <c r="J31" s="105"/>
      <c r="K31" s="105"/>
      <c r="L31" s="107">
        <v>0.3</v>
      </c>
      <c r="M31" s="108"/>
    </row>
    <row r="32" spans="1:13" x14ac:dyDescent="0.35">
      <c r="A32" s="103"/>
      <c r="B32" s="104"/>
      <c r="C32" s="104"/>
      <c r="D32" s="104"/>
      <c r="E32" s="104"/>
      <c r="F32" s="104"/>
      <c r="G32" s="104"/>
      <c r="H32" s="104"/>
      <c r="I32" s="105" t="s">
        <v>24</v>
      </c>
      <c r="J32" s="105"/>
      <c r="K32" s="105"/>
      <c r="L32" s="109" t="str">
        <f>IF(L30="NA","NA",ROUND(L30*L31,4))</f>
        <v>NA</v>
      </c>
      <c r="M32" s="109"/>
    </row>
    <row r="33" spans="1:13" ht="52" x14ac:dyDescent="0.35">
      <c r="A33" s="10"/>
      <c r="B33" s="135" t="s">
        <v>12</v>
      </c>
      <c r="C33" s="135"/>
      <c r="D33" s="135"/>
      <c r="E33" s="135"/>
      <c r="F33" s="135"/>
      <c r="G33" s="135"/>
      <c r="H33" s="7" t="s">
        <v>13</v>
      </c>
      <c r="I33" s="7" t="s">
        <v>14</v>
      </c>
      <c r="J33" s="7" t="s">
        <v>15</v>
      </c>
      <c r="K33" s="7" t="s">
        <v>16</v>
      </c>
      <c r="L33" s="7" t="s">
        <v>17</v>
      </c>
      <c r="M33" s="7" t="s">
        <v>18</v>
      </c>
    </row>
    <row r="34" spans="1:13" ht="30.25" customHeight="1" x14ac:dyDescent="0.35">
      <c r="A34" s="103" t="s">
        <v>36</v>
      </c>
      <c r="B34" s="8">
        <v>11</v>
      </c>
      <c r="C34" s="110" t="s">
        <v>37</v>
      </c>
      <c r="D34" s="110"/>
      <c r="E34" s="110"/>
      <c r="F34" s="110"/>
      <c r="G34" s="110"/>
      <c r="H34" s="65" t="s">
        <v>20</v>
      </c>
      <c r="I34" s="63">
        <v>100</v>
      </c>
      <c r="J34" s="52" t="str">
        <f>'MS - Detail'!M36</f>
        <v>NA</v>
      </c>
      <c r="K34" s="63" t="s">
        <v>20</v>
      </c>
      <c r="L34" s="63" t="str">
        <f t="shared" ref="L34" si="2">IF(M34="NA", "NA", 10)</f>
        <v>NA</v>
      </c>
      <c r="M34" s="9" t="str">
        <f>IF(J34="NA", "NA", IF(J34="TFS", "NA", IF(J34="", "NA", ROUND(J34/10,3))))</f>
        <v>NA</v>
      </c>
    </row>
    <row r="35" spans="1:13" x14ac:dyDescent="0.35">
      <c r="A35" s="103"/>
      <c r="B35" s="104"/>
      <c r="C35" s="104"/>
      <c r="D35" s="104"/>
      <c r="E35" s="104"/>
      <c r="F35" s="104"/>
      <c r="G35" s="104"/>
      <c r="H35" s="104"/>
      <c r="I35" s="105" t="s">
        <v>21</v>
      </c>
      <c r="J35" s="105"/>
      <c r="K35" s="105"/>
      <c r="L35" s="66" t="str">
        <f>IF(L34="NA", "NA", SUM(L34))</f>
        <v>NA</v>
      </c>
      <c r="M35" s="66" t="str">
        <f>IF(M34="NA", "NA", SUM(M34))</f>
        <v>NA</v>
      </c>
    </row>
    <row r="36" spans="1:13" x14ac:dyDescent="0.35">
      <c r="A36" s="103"/>
      <c r="B36" s="104"/>
      <c r="C36" s="104"/>
      <c r="D36" s="104"/>
      <c r="E36" s="104"/>
      <c r="F36" s="104"/>
      <c r="G36" s="104"/>
      <c r="H36" s="104"/>
      <c r="I36" s="105" t="s">
        <v>22</v>
      </c>
      <c r="J36" s="105"/>
      <c r="K36" s="105"/>
      <c r="L36" s="106" t="str">
        <f>IF(L35="NA","NA",ROUND(M35/L35,3))</f>
        <v>NA</v>
      </c>
      <c r="M36" s="106"/>
    </row>
    <row r="37" spans="1:13" x14ac:dyDescent="0.35">
      <c r="A37" s="103"/>
      <c r="B37" s="104"/>
      <c r="C37" s="104"/>
      <c r="D37" s="104"/>
      <c r="E37" s="104"/>
      <c r="F37" s="104"/>
      <c r="G37" s="104"/>
      <c r="H37" s="104"/>
      <c r="I37" s="105" t="s">
        <v>23</v>
      </c>
      <c r="J37" s="105"/>
      <c r="K37" s="105"/>
      <c r="L37" s="107">
        <v>0.3</v>
      </c>
      <c r="M37" s="108"/>
    </row>
    <row r="38" spans="1:13" x14ac:dyDescent="0.35">
      <c r="A38" s="103"/>
      <c r="B38" s="104"/>
      <c r="C38" s="104"/>
      <c r="D38" s="104"/>
      <c r="E38" s="104"/>
      <c r="F38" s="104"/>
      <c r="G38" s="104"/>
      <c r="H38" s="104"/>
      <c r="I38" s="105" t="s">
        <v>24</v>
      </c>
      <c r="J38" s="105"/>
      <c r="K38" s="105"/>
      <c r="L38" s="109" t="str">
        <f>IF(L36="NA","NA",ROUND(L36*L37,4))</f>
        <v>NA</v>
      </c>
      <c r="M38" s="109"/>
    </row>
    <row r="39" spans="1:13" x14ac:dyDescent="0.35">
      <c r="A39" s="4"/>
      <c r="B39" s="4"/>
      <c r="C39" s="4"/>
      <c r="D39" s="4"/>
      <c r="E39" s="4"/>
      <c r="F39" s="4"/>
      <c r="G39" s="4"/>
      <c r="H39" s="4"/>
      <c r="I39" s="4"/>
      <c r="J39" s="4"/>
      <c r="K39" s="4"/>
      <c r="L39" s="4"/>
      <c r="M39" s="4"/>
    </row>
    <row r="40" spans="1:13" x14ac:dyDescent="0.35">
      <c r="A40" s="105" t="s">
        <v>38</v>
      </c>
      <c r="B40" s="105"/>
      <c r="C40" s="105"/>
      <c r="D40" s="105"/>
      <c r="E40" s="105"/>
      <c r="F40" s="105"/>
      <c r="G40" s="105"/>
      <c r="H40" s="105"/>
      <c r="I40" s="105"/>
      <c r="J40" s="105"/>
      <c r="K40" s="105"/>
      <c r="L40" s="109" t="str">
        <f>L22</f>
        <v>NA</v>
      </c>
      <c r="M40" s="109"/>
    </row>
    <row r="41" spans="1:13" x14ac:dyDescent="0.35">
      <c r="A41" s="105" t="s">
        <v>195</v>
      </c>
      <c r="B41" s="105"/>
      <c r="C41" s="105"/>
      <c r="D41" s="105"/>
      <c r="E41" s="105"/>
      <c r="F41" s="105"/>
      <c r="G41" s="105"/>
      <c r="H41" s="105"/>
      <c r="I41" s="105"/>
      <c r="J41" s="105"/>
      <c r="K41" s="105"/>
      <c r="L41" s="109" t="str">
        <f>L32</f>
        <v>NA</v>
      </c>
      <c r="M41" s="109"/>
    </row>
    <row r="42" spans="1:13" x14ac:dyDescent="0.35">
      <c r="A42" s="105" t="s">
        <v>145</v>
      </c>
      <c r="B42" s="105"/>
      <c r="C42" s="105"/>
      <c r="D42" s="105"/>
      <c r="E42" s="105"/>
      <c r="F42" s="105"/>
      <c r="G42" s="105"/>
      <c r="H42" s="105"/>
      <c r="I42" s="105"/>
      <c r="J42" s="105"/>
      <c r="K42" s="105"/>
      <c r="L42" s="109" t="str">
        <f>L38</f>
        <v>NA</v>
      </c>
      <c r="M42" s="109"/>
    </row>
    <row r="43" spans="1:13" x14ac:dyDescent="0.35">
      <c r="A43" s="105" t="s">
        <v>39</v>
      </c>
      <c r="B43" s="105"/>
      <c r="C43" s="105"/>
      <c r="D43" s="105"/>
      <c r="E43" s="105"/>
      <c r="F43" s="105"/>
      <c r="G43" s="105"/>
      <c r="H43" s="105"/>
      <c r="I43" s="105"/>
      <c r="J43" s="105"/>
      <c r="K43" s="105"/>
      <c r="L43" s="111" t="str">
        <f>IF(L40="NA", "NA", IF(AND(L40="NA", L41="NA", L42="NA"), "NA", SUM(L40:M42)))</f>
        <v>NA</v>
      </c>
      <c r="M43" s="111"/>
    </row>
    <row r="44" spans="1:13" x14ac:dyDescent="0.35">
      <c r="A44" s="105" t="s">
        <v>40</v>
      </c>
      <c r="B44" s="105"/>
      <c r="C44" s="105"/>
      <c r="D44" s="105"/>
      <c r="E44" s="105"/>
      <c r="F44" s="105"/>
      <c r="G44" s="105"/>
      <c r="H44" s="105"/>
      <c r="I44" s="105"/>
      <c r="J44" s="105"/>
      <c r="K44" s="112"/>
      <c r="L44" s="113" t="str">
        <f>IF(L43="NA","NA",(IF(AND(L41="NA",L42="NA"),ROUND((L43/0.4)*50,1),IF(L42="NA",ROUND(((SUM(L40:M41))/0.7)*50,1),IF(L43&lt;&gt;"NA",ROUND(L43*50,1))))))</f>
        <v>NA</v>
      </c>
      <c r="M44" s="113"/>
    </row>
    <row r="45" spans="1:13" x14ac:dyDescent="0.35">
      <c r="A45" s="4"/>
      <c r="B45" s="4"/>
      <c r="C45" s="4"/>
      <c r="D45" s="4"/>
      <c r="E45" s="4"/>
      <c r="F45" s="4"/>
      <c r="G45" s="4"/>
      <c r="H45" s="4"/>
      <c r="I45" s="4"/>
      <c r="J45" s="4"/>
      <c r="K45" s="4"/>
      <c r="L45" s="4"/>
      <c r="M45" s="4"/>
    </row>
    <row r="46" spans="1:13" ht="18.5" x14ac:dyDescent="0.35">
      <c r="A46" s="95" t="s">
        <v>5</v>
      </c>
      <c r="B46" s="95"/>
      <c r="C46" s="95"/>
      <c r="D46" s="95"/>
      <c r="E46" s="95"/>
      <c r="F46" s="95"/>
      <c r="G46" s="95"/>
      <c r="H46" s="95"/>
      <c r="I46" s="95"/>
      <c r="J46" s="95"/>
      <c r="K46" s="95"/>
      <c r="L46" s="95"/>
      <c r="M46" s="95"/>
    </row>
    <row r="47" spans="1:13" ht="30" customHeight="1" x14ac:dyDescent="0.35">
      <c r="A47" s="120" t="s">
        <v>260</v>
      </c>
      <c r="B47" s="120"/>
      <c r="C47" s="120"/>
      <c r="D47" s="120"/>
      <c r="E47" s="120"/>
      <c r="F47" s="120"/>
      <c r="G47" s="120"/>
      <c r="H47" s="114" t="s">
        <v>42</v>
      </c>
      <c r="I47" s="114"/>
      <c r="J47" s="114"/>
      <c r="K47" s="114" t="s">
        <v>43</v>
      </c>
      <c r="L47" s="114"/>
      <c r="M47" s="114"/>
    </row>
    <row r="48" spans="1:13" ht="15" customHeight="1" x14ac:dyDescent="0.35">
      <c r="A48" s="115" t="s">
        <v>44</v>
      </c>
      <c r="B48" s="115"/>
      <c r="C48" s="115"/>
      <c r="D48" s="115"/>
      <c r="E48" s="115"/>
      <c r="F48" s="115"/>
      <c r="G48" s="115"/>
      <c r="H48" s="116" t="s">
        <v>20</v>
      </c>
      <c r="I48" s="116"/>
      <c r="J48" s="116"/>
      <c r="K48" s="119" t="s">
        <v>20</v>
      </c>
      <c r="L48" s="117"/>
      <c r="M48" s="118"/>
    </row>
    <row r="49" spans="1:13" ht="15" customHeight="1" x14ac:dyDescent="0.35">
      <c r="A49" s="115" t="s">
        <v>45</v>
      </c>
      <c r="B49" s="115"/>
      <c r="C49" s="115"/>
      <c r="D49" s="115"/>
      <c r="E49" s="115"/>
      <c r="F49" s="115"/>
      <c r="G49" s="115"/>
      <c r="H49" s="116" t="str">
        <f>IF(K49="NA", "NA", IF(K49="TFS", "NA", 'MS - Detail'!F43))</f>
        <v>NA</v>
      </c>
      <c r="I49" s="117"/>
      <c r="J49" s="118"/>
      <c r="K49" s="119" t="str">
        <f>IF('MS - Detail'!E43="", "NA", IF('MS - Detail'!E43="NA", "NA", IF('MS - Detail'!E43&lt;15, "TFS", 'MS - Detail'!E43)))</f>
        <v>NA</v>
      </c>
      <c r="L49" s="117"/>
      <c r="M49" s="118"/>
    </row>
    <row r="50" spans="1:13" ht="15" customHeight="1" x14ac:dyDescent="0.35">
      <c r="A50" s="115" t="s">
        <v>46</v>
      </c>
      <c r="B50" s="115"/>
      <c r="C50" s="115"/>
      <c r="D50" s="115"/>
      <c r="E50" s="115"/>
      <c r="F50" s="115"/>
      <c r="G50" s="115"/>
      <c r="H50" s="116" t="str">
        <f>IF(K50="NA", "NA", IF(K50="TFS", "NA", 'MS - Detail'!H43))</f>
        <v>NA</v>
      </c>
      <c r="I50" s="117"/>
      <c r="J50" s="118"/>
      <c r="K50" s="119" t="str">
        <f>IF('MS - Detail'!G43="", "NA", IF('MS - Detail'!G43="NA", "NA", IF('MS - Detail'!G43&lt;15, "TFS", 'MS - Detail'!G43)))</f>
        <v>NA</v>
      </c>
      <c r="L50" s="117"/>
      <c r="M50" s="118"/>
    </row>
    <row r="51" spans="1:13" ht="15" customHeight="1" x14ac:dyDescent="0.35">
      <c r="A51" s="115" t="s">
        <v>47</v>
      </c>
      <c r="B51" s="115"/>
      <c r="C51" s="115"/>
      <c r="D51" s="115"/>
      <c r="E51" s="115"/>
      <c r="F51" s="115"/>
      <c r="G51" s="115"/>
      <c r="H51" s="119" t="str">
        <f>IF(K51="NA", "NA", IF(K51="TFS", "NA", 'MS - Detail'!J43))</f>
        <v>NA</v>
      </c>
      <c r="I51" s="117"/>
      <c r="J51" s="118"/>
      <c r="K51" s="119" t="str">
        <f>IF('MS - Detail'!I43="", "NA", IF('MS - Detail'!I43="NA", "NA", IF('MS - Detail'!I43&lt;15, "TFS", 'MS - Detail'!I43)))</f>
        <v>NA</v>
      </c>
      <c r="L51" s="117"/>
      <c r="M51" s="118"/>
    </row>
    <row r="52" spans="1:13" x14ac:dyDescent="0.35">
      <c r="A52" s="121" t="s">
        <v>48</v>
      </c>
      <c r="B52" s="121"/>
      <c r="C52" s="121"/>
      <c r="D52" s="121"/>
      <c r="E52" s="121"/>
      <c r="F52" s="121"/>
      <c r="G52" s="121"/>
      <c r="H52" s="114" t="str">
        <f>IF(AND(H48="NA", H49="NA", H50="NA", H51="NA"), "NA", SUM(H48:J51))</f>
        <v>NA</v>
      </c>
      <c r="I52" s="114"/>
      <c r="J52" s="114"/>
      <c r="K52" s="114" t="str">
        <f>IF(AND(K48="NA", K49="NA", K50="NA", K51="NA"), "NA", SUM(K48:M51))</f>
        <v>NA</v>
      </c>
      <c r="L52" s="114"/>
      <c r="M52" s="114"/>
    </row>
    <row r="53" spans="1:13" x14ac:dyDescent="0.35">
      <c r="A53" s="121" t="s">
        <v>49</v>
      </c>
      <c r="B53" s="121"/>
      <c r="C53" s="121"/>
      <c r="D53" s="121"/>
      <c r="E53" s="121"/>
      <c r="F53" s="121"/>
      <c r="G53" s="121"/>
      <c r="H53" s="123" t="str">
        <f>IF(K52&lt;15,"TFS",IF(K52="NA","NA",ROUND(H52/K52,5)))</f>
        <v>NA</v>
      </c>
      <c r="I53" s="123"/>
      <c r="J53" s="123"/>
      <c r="K53" s="123"/>
      <c r="L53" s="123"/>
      <c r="M53" s="123"/>
    </row>
    <row r="54" spans="1:13" x14ac:dyDescent="0.35">
      <c r="A54" s="121" t="s">
        <v>146</v>
      </c>
      <c r="B54" s="121"/>
      <c r="C54" s="121"/>
      <c r="D54" s="121"/>
      <c r="E54" s="121"/>
      <c r="F54" s="121"/>
      <c r="G54" s="121"/>
      <c r="H54" s="122">
        <v>0.748</v>
      </c>
      <c r="I54" s="122"/>
      <c r="J54" s="122"/>
      <c r="K54" s="122"/>
      <c r="L54" s="122"/>
      <c r="M54" s="122"/>
    </row>
    <row r="55" spans="1:13" x14ac:dyDescent="0.35">
      <c r="A55" s="121" t="s">
        <v>50</v>
      </c>
      <c r="B55" s="121"/>
      <c r="C55" s="121"/>
      <c r="D55" s="121"/>
      <c r="E55" s="121"/>
      <c r="F55" s="121"/>
      <c r="G55" s="121"/>
      <c r="H55" s="123" t="str">
        <f>IF(H53="TFS","TFS",IF(H53="NA","NA",MIN(ROUND(H53/H54,5), 1)))</f>
        <v>NA</v>
      </c>
      <c r="I55" s="123"/>
      <c r="J55" s="123"/>
      <c r="K55" s="123"/>
      <c r="L55" s="123"/>
      <c r="M55" s="123"/>
    </row>
    <row r="56" spans="1:13" x14ac:dyDescent="0.35">
      <c r="A56" s="121" t="s">
        <v>24</v>
      </c>
      <c r="B56" s="121"/>
      <c r="C56" s="121"/>
      <c r="D56" s="121"/>
      <c r="E56" s="121"/>
      <c r="F56" s="121"/>
      <c r="G56" s="121"/>
      <c r="H56" s="126" t="str">
        <f>"("&amp;(H55)&amp;")*40"</f>
        <v>(NA)*40</v>
      </c>
      <c r="I56" s="127"/>
      <c r="J56" s="127"/>
      <c r="K56" s="127"/>
      <c r="L56" s="127"/>
      <c r="M56" s="127"/>
    </row>
    <row r="57" spans="1:13" x14ac:dyDescent="0.35">
      <c r="A57" s="121" t="s">
        <v>51</v>
      </c>
      <c r="B57" s="121"/>
      <c r="C57" s="121"/>
      <c r="D57" s="121"/>
      <c r="E57" s="121"/>
      <c r="F57" s="121"/>
      <c r="G57" s="121"/>
      <c r="H57" s="127" t="str">
        <f>IF(H55="NA","NA",(IF(H55="TFS","NA",ROUND(H55*40,1))))</f>
        <v>NA</v>
      </c>
      <c r="I57" s="127"/>
      <c r="J57" s="127"/>
      <c r="K57" s="127"/>
      <c r="L57" s="127"/>
      <c r="M57" s="127"/>
    </row>
    <row r="58" spans="1:13" x14ac:dyDescent="0.35">
      <c r="A58" s="3" t="s">
        <v>108</v>
      </c>
      <c r="B58" s="3"/>
      <c r="C58" s="3"/>
      <c r="D58" s="3"/>
      <c r="E58" s="3"/>
      <c r="F58" s="3"/>
      <c r="G58" s="3"/>
      <c r="H58" s="3"/>
      <c r="I58" s="3"/>
      <c r="J58" s="3"/>
      <c r="K58" s="3"/>
      <c r="L58" s="3"/>
      <c r="M58" s="3"/>
    </row>
    <row r="59" spans="1:13" ht="18.5" x14ac:dyDescent="0.35">
      <c r="A59" s="124" t="s">
        <v>6</v>
      </c>
      <c r="B59" s="124"/>
      <c r="C59" s="124"/>
      <c r="D59" s="124"/>
      <c r="E59" s="124"/>
      <c r="F59" s="124"/>
      <c r="G59" s="124"/>
      <c r="H59" s="124"/>
      <c r="I59" s="124"/>
      <c r="J59" s="124"/>
      <c r="K59" s="124"/>
      <c r="L59" s="124"/>
      <c r="M59" s="124"/>
    </row>
    <row r="60" spans="1:13" x14ac:dyDescent="0.35">
      <c r="A60" s="108" t="s">
        <v>260</v>
      </c>
      <c r="B60" s="108"/>
      <c r="C60" s="108"/>
      <c r="D60" s="108"/>
      <c r="E60" s="108"/>
      <c r="F60" s="108" t="s">
        <v>52</v>
      </c>
      <c r="G60" s="108"/>
      <c r="H60" s="108" t="s">
        <v>53</v>
      </c>
      <c r="I60" s="108"/>
      <c r="J60" s="125" t="s">
        <v>55</v>
      </c>
      <c r="K60" s="108"/>
      <c r="L60" s="108" t="s">
        <v>54</v>
      </c>
      <c r="M60" s="108"/>
    </row>
    <row r="61" spans="1:13" x14ac:dyDescent="0.35">
      <c r="A61" s="128" t="s">
        <v>56</v>
      </c>
      <c r="B61" s="128"/>
      <c r="C61" s="128"/>
      <c r="D61" s="128"/>
      <c r="E61" s="128"/>
      <c r="F61" s="129" t="str">
        <f>'MS - Detail'!H48</f>
        <v>NA</v>
      </c>
      <c r="G61" s="129"/>
      <c r="H61" s="129" t="str">
        <f>'MS - Detail'!K48</f>
        <v>NA</v>
      </c>
      <c r="I61" s="129"/>
      <c r="J61" s="104" t="str">
        <f>IF(AND(F61="",H61=""),"NA",IF(H61="NA","NA",IF(H61="TFS","TFS",MAX(F61,H61))))</f>
        <v>NA</v>
      </c>
      <c r="K61" s="104"/>
      <c r="L61" s="104" t="str">
        <f>IF(J61="NA","NA",IF(J61="TFS","TFS",3))</f>
        <v>NA</v>
      </c>
      <c r="M61" s="104"/>
    </row>
    <row r="62" spans="1:13" x14ac:dyDescent="0.35">
      <c r="A62" s="128" t="s">
        <v>57</v>
      </c>
      <c r="B62" s="128"/>
      <c r="C62" s="128"/>
      <c r="D62" s="128"/>
      <c r="E62" s="128"/>
      <c r="F62" s="129" t="str">
        <f>'MS - Detail'!H49</f>
        <v>NA</v>
      </c>
      <c r="G62" s="129"/>
      <c r="H62" s="129" t="str">
        <f>'MS - Detail'!K49</f>
        <v>NA</v>
      </c>
      <c r="I62" s="129"/>
      <c r="J62" s="104" t="str">
        <f>IF(AND(F62="",H62=""),"NA",IF(H62="NA","NA",IF(H62="TFS","TFS",MAX(F62,H62))))</f>
        <v>NA</v>
      </c>
      <c r="K62" s="104"/>
      <c r="L62" s="104" t="str">
        <f>IF(J62="NA","NA",IF(J62="TFS","TFS",3))</f>
        <v>NA</v>
      </c>
      <c r="M62" s="104"/>
    </row>
    <row r="63" spans="1:13" x14ac:dyDescent="0.35">
      <c r="A63" s="128" t="s">
        <v>58</v>
      </c>
      <c r="B63" s="128"/>
      <c r="C63" s="128"/>
      <c r="D63" s="128"/>
      <c r="E63" s="128"/>
      <c r="F63" s="129" t="str">
        <f>'MS - Detail'!H50</f>
        <v>NA</v>
      </c>
      <c r="G63" s="129"/>
      <c r="H63" s="129" t="str">
        <f>'MS - Detail'!K50</f>
        <v>NA</v>
      </c>
      <c r="I63" s="129"/>
      <c r="J63" s="104" t="str">
        <f>IF(AND(F63="",H63=""),"NA",IF(H63="NA","NA",IF(H63="TFS","TFS",MAX(F63,H63))))</f>
        <v>NA</v>
      </c>
      <c r="K63" s="104"/>
      <c r="L63" s="104" t="str">
        <f>IF(J63="NA","NA",IF(J63="TFS","TFS",3))</f>
        <v>NA</v>
      </c>
      <c r="M63" s="104"/>
    </row>
    <row r="64" spans="1:13" x14ac:dyDescent="0.35">
      <c r="A64" s="128" t="s">
        <v>59</v>
      </c>
      <c r="B64" s="128"/>
      <c r="C64" s="128"/>
      <c r="D64" s="128"/>
      <c r="E64" s="128"/>
      <c r="F64" s="129" t="str">
        <f>'MS - Detail'!H51</f>
        <v>NA</v>
      </c>
      <c r="G64" s="129"/>
      <c r="H64" s="129" t="str">
        <f>'MS - Detail'!K51</f>
        <v>NA</v>
      </c>
      <c r="I64" s="129"/>
      <c r="J64" s="104" t="str">
        <f>IF(AND(F64="",H64=""),"NA",IF(H64="NA","NA",IF(H64="TFS","TFS",MAX(F64,H64))))</f>
        <v>NA</v>
      </c>
      <c r="K64" s="104"/>
      <c r="L64" s="104" t="str">
        <f>IF(J64="NA","NA",IF(J64="TFS","TFS",3))</f>
        <v>NA</v>
      </c>
      <c r="M64" s="104"/>
    </row>
    <row r="65" spans="1:13" x14ac:dyDescent="0.35">
      <c r="A65" s="130" t="s">
        <v>48</v>
      </c>
      <c r="B65" s="130"/>
      <c r="C65" s="130"/>
      <c r="D65" s="130"/>
      <c r="E65" s="130"/>
      <c r="F65" s="131"/>
      <c r="G65" s="131"/>
      <c r="H65" s="131"/>
      <c r="I65" s="131"/>
      <c r="J65" s="131" t="str">
        <f>IF(AND(J61="NA",J62="NA",J63="NA",J64="NA"), "NA", IF(AND(J61="TFS",J62="TFS",J63="TFS",J64="TFS"), "NA", SUM(J61:K64)))</f>
        <v>NA</v>
      </c>
      <c r="K65" s="131"/>
      <c r="L65" s="131" t="str">
        <f>IF(AND(L61="NA",L62="NA",L63="NA",L64="NA"),"NA",IF(AND(L61="TFS",L62="TFS",L63="TFS",L64="TFS"),"NA",SUM(L61:M64)))</f>
        <v>NA</v>
      </c>
      <c r="M65" s="131"/>
    </row>
    <row r="66" spans="1:13" x14ac:dyDescent="0.35">
      <c r="A66" s="130" t="s">
        <v>60</v>
      </c>
      <c r="B66" s="130"/>
      <c r="C66" s="130"/>
      <c r="D66" s="130"/>
      <c r="E66" s="130"/>
      <c r="F66" s="132" t="str">
        <f>IF(J65="NA","NA",IF(J65=L65, 1, ROUND(J65/L65,5)))</f>
        <v>NA</v>
      </c>
      <c r="G66" s="132"/>
      <c r="H66" s="132"/>
      <c r="I66" s="132"/>
      <c r="J66" s="132"/>
      <c r="K66" s="132"/>
      <c r="L66" s="132"/>
      <c r="M66" s="132"/>
    </row>
    <row r="67" spans="1:13" x14ac:dyDescent="0.35">
      <c r="A67" s="130" t="s">
        <v>24</v>
      </c>
      <c r="B67" s="130"/>
      <c r="C67" s="130"/>
      <c r="D67" s="130"/>
      <c r="E67" s="130"/>
      <c r="F67" s="131" t="str">
        <f>"("&amp;(F66)&amp;")*10"</f>
        <v>(NA)*10</v>
      </c>
      <c r="G67" s="131"/>
      <c r="H67" s="131"/>
      <c r="I67" s="131"/>
      <c r="J67" s="131"/>
      <c r="K67" s="131"/>
      <c r="L67" s="131"/>
      <c r="M67" s="131"/>
    </row>
    <row r="68" spans="1:13" x14ac:dyDescent="0.35">
      <c r="A68" s="130" t="s">
        <v>61</v>
      </c>
      <c r="B68" s="130"/>
      <c r="C68" s="130"/>
      <c r="D68" s="130"/>
      <c r="E68" s="130"/>
      <c r="F68" s="131" t="str">
        <f>IF(F66="NA","NA",ROUND(F66*10,1))</f>
        <v>NA</v>
      </c>
      <c r="G68" s="131"/>
      <c r="H68" s="131"/>
      <c r="I68" s="131"/>
      <c r="J68" s="131"/>
      <c r="K68" s="131"/>
      <c r="L68" s="131"/>
      <c r="M68" s="131"/>
    </row>
    <row r="69" spans="1:13" x14ac:dyDescent="0.35">
      <c r="A69" s="4"/>
      <c r="B69" s="4"/>
      <c r="C69" s="4"/>
      <c r="D69" s="4"/>
      <c r="E69" s="4"/>
      <c r="F69" s="4"/>
      <c r="G69" s="4"/>
      <c r="H69" s="4"/>
      <c r="I69" s="4"/>
      <c r="J69" s="4"/>
      <c r="K69" s="4"/>
      <c r="L69" s="4"/>
      <c r="M69" s="4"/>
    </row>
    <row r="70" spans="1:13" ht="18.5" x14ac:dyDescent="0.35">
      <c r="A70" s="95" t="s">
        <v>10</v>
      </c>
      <c r="B70" s="95"/>
      <c r="C70" s="95"/>
      <c r="D70" s="95"/>
      <c r="E70" s="95"/>
      <c r="F70" s="95"/>
      <c r="G70" s="95"/>
      <c r="H70" s="95"/>
      <c r="I70" s="95"/>
      <c r="J70" s="95"/>
      <c r="K70" s="95"/>
      <c r="L70" s="95"/>
      <c r="M70" s="95"/>
    </row>
    <row r="71" spans="1:13" ht="30.25" customHeight="1" x14ac:dyDescent="0.35">
      <c r="A71" s="134" t="s">
        <v>142</v>
      </c>
      <c r="B71" s="134"/>
      <c r="C71" s="134"/>
      <c r="D71" s="134" t="s">
        <v>143</v>
      </c>
      <c r="E71" s="134"/>
      <c r="F71" s="134" t="s">
        <v>100</v>
      </c>
      <c r="G71" s="134"/>
      <c r="H71" s="134" t="s">
        <v>62</v>
      </c>
      <c r="I71" s="134"/>
      <c r="J71" s="134"/>
      <c r="K71" s="134" t="s">
        <v>63</v>
      </c>
      <c r="L71" s="134"/>
      <c r="M71" s="134"/>
    </row>
    <row r="72" spans="1:13" x14ac:dyDescent="0.35">
      <c r="A72" s="129">
        <f>'MS - Detail'!C60</f>
        <v>0</v>
      </c>
      <c r="B72" s="129"/>
      <c r="C72" s="129"/>
      <c r="D72" s="129">
        <f>'MS - Detail'!D60</f>
        <v>0</v>
      </c>
      <c r="E72" s="129"/>
      <c r="F72" s="137" t="str">
        <f>IF(A72="NA", "NA", IF(A72="TFS", "NA", IF(A72="", "NA", IF(A72=0, "NA", IF(D72&gt;A72, "NA", D72/A72)))))</f>
        <v>NA</v>
      </c>
      <c r="G72" s="137"/>
      <c r="H72" s="104">
        <v>10</v>
      </c>
      <c r="I72" s="104"/>
      <c r="J72" s="104"/>
      <c r="K72" s="133" t="str">
        <f>IF(F72="NA", "NA", ROUND(F72*H72,1))</f>
        <v>NA</v>
      </c>
      <c r="L72" s="133"/>
      <c r="M72" s="133"/>
    </row>
    <row r="73" spans="1:13" ht="60.65" customHeight="1" x14ac:dyDescent="0.35">
      <c r="A73" s="134" t="s">
        <v>64</v>
      </c>
      <c r="B73" s="134"/>
      <c r="C73" s="134"/>
      <c r="D73" s="134" t="s">
        <v>65</v>
      </c>
      <c r="E73" s="134"/>
      <c r="F73" s="134" t="s">
        <v>66</v>
      </c>
      <c r="G73" s="134"/>
      <c r="H73" s="104"/>
      <c r="I73" s="104"/>
      <c r="J73" s="104"/>
      <c r="K73" s="104"/>
      <c r="L73" s="104"/>
      <c r="M73" s="104"/>
    </row>
    <row r="74" spans="1:13" x14ac:dyDescent="0.35">
      <c r="A74" s="129" t="str">
        <f>IF('MS - Detail'!H56="","",'MS - Detail'!H56)</f>
        <v/>
      </c>
      <c r="B74" s="129"/>
      <c r="C74" s="129"/>
      <c r="D74" s="129" t="str">
        <f>IF('MS - Detail'!I56="","",'MS - Detail'!I56)</f>
        <v/>
      </c>
      <c r="E74" s="129"/>
      <c r="F74" s="137" t="str">
        <f>IF(A74="","", IF(A74=0, "NA", IF(A74="TFS", "NA", IF(A74="NA", "NA", IF(D74&gt;A74, "NA", D74/A74)))))</f>
        <v/>
      </c>
      <c r="G74" s="137"/>
      <c r="H74" s="104"/>
      <c r="I74" s="104"/>
      <c r="J74" s="104"/>
      <c r="K74" s="104"/>
      <c r="L74" s="104"/>
      <c r="M74" s="104"/>
    </row>
    <row r="75" spans="1:13" x14ac:dyDescent="0.35">
      <c r="A75" s="131" t="s">
        <v>67</v>
      </c>
      <c r="B75" s="131"/>
      <c r="C75" s="131"/>
      <c r="D75" s="131"/>
      <c r="E75" s="131"/>
      <c r="F75" s="131"/>
      <c r="G75" s="131"/>
      <c r="H75" s="131" t="str">
        <f>IF(F74="", "NA", IF(K72="NA", "NA", IF(F74="NA", "NA", ROUND(F74*K72,1))))</f>
        <v>NA</v>
      </c>
      <c r="I75" s="131"/>
      <c r="J75" s="131"/>
      <c r="K75" s="131"/>
      <c r="L75" s="131"/>
      <c r="M75" s="131"/>
    </row>
    <row r="76" spans="1:13" x14ac:dyDescent="0.35">
      <c r="A76" s="3"/>
      <c r="B76" s="3"/>
      <c r="C76" s="3"/>
      <c r="D76" s="3"/>
      <c r="E76" s="3"/>
      <c r="F76" s="3"/>
      <c r="G76" s="3"/>
      <c r="H76" s="3"/>
      <c r="I76" s="3"/>
      <c r="J76" s="3"/>
      <c r="K76" s="3"/>
      <c r="L76" s="3"/>
      <c r="M76" s="3"/>
    </row>
    <row r="77" spans="1:13" ht="18.5" x14ac:dyDescent="0.35">
      <c r="A77" s="124" t="s">
        <v>11</v>
      </c>
      <c r="B77" s="124"/>
      <c r="C77" s="124"/>
      <c r="D77" s="124"/>
      <c r="E77" s="124"/>
      <c r="F77" s="124"/>
      <c r="G77" s="124"/>
      <c r="H77" s="124"/>
      <c r="I77" s="124"/>
      <c r="J77" s="124"/>
      <c r="K77" s="124"/>
      <c r="L77" s="124"/>
      <c r="M77" s="124"/>
    </row>
    <row r="78" spans="1:13" ht="39" x14ac:dyDescent="0.35">
      <c r="A78" s="12"/>
      <c r="B78" s="136" t="s">
        <v>193</v>
      </c>
      <c r="C78" s="136"/>
      <c r="D78" s="136"/>
      <c r="E78" s="136"/>
      <c r="F78" s="136"/>
      <c r="G78" s="136"/>
      <c r="H78" s="136"/>
      <c r="I78" s="136"/>
      <c r="J78" s="13" t="s">
        <v>70</v>
      </c>
      <c r="K78" s="13" t="s">
        <v>71</v>
      </c>
      <c r="L78" s="13" t="s">
        <v>17</v>
      </c>
      <c r="M78" s="13" t="s">
        <v>18</v>
      </c>
    </row>
    <row r="79" spans="1:13" ht="45.25" customHeight="1" x14ac:dyDescent="0.35">
      <c r="A79" s="63">
        <v>1</v>
      </c>
      <c r="B79" s="110" t="s">
        <v>166</v>
      </c>
      <c r="C79" s="110"/>
      <c r="D79" s="110"/>
      <c r="E79" s="110"/>
      <c r="F79" s="110"/>
      <c r="G79" s="110"/>
      <c r="H79" s="110"/>
      <c r="I79" s="110"/>
      <c r="J79" s="63">
        <v>100</v>
      </c>
      <c r="K79" s="51" t="str">
        <f>'MS - Detail'!G65</f>
        <v>NA</v>
      </c>
      <c r="L79" s="63">
        <v>0.5</v>
      </c>
      <c r="M79" s="90" t="str">
        <f>IF(K79="TFS", "NA", IF(K79="NA", "NA", IF(K79&gt;=99.445,0.5,0)))</f>
        <v>NA</v>
      </c>
    </row>
    <row r="80" spans="1:13" ht="45" customHeight="1" x14ac:dyDescent="0.35">
      <c r="A80" s="63">
        <v>2</v>
      </c>
      <c r="B80" s="110" t="s">
        <v>167</v>
      </c>
      <c r="C80" s="110"/>
      <c r="D80" s="110"/>
      <c r="E80" s="110"/>
      <c r="F80" s="110"/>
      <c r="G80" s="110"/>
      <c r="H80" s="110"/>
      <c r="I80" s="110"/>
      <c r="J80" s="63">
        <v>73.8</v>
      </c>
      <c r="K80" s="51" t="str">
        <f>'MS - Detail'!E69</f>
        <v>NA</v>
      </c>
      <c r="L80" s="63">
        <v>0.5</v>
      </c>
      <c r="M80" s="90" t="str">
        <f>IF(K80="TFS", "NA", IF(K80="NA", "NA", IF(K80&gt;=J80,0.5,0)))</f>
        <v>NA</v>
      </c>
    </row>
    <row r="81" spans="1:13" ht="30.25" customHeight="1" x14ac:dyDescent="0.35">
      <c r="A81" s="63">
        <v>3</v>
      </c>
      <c r="B81" s="110" t="s">
        <v>74</v>
      </c>
      <c r="C81" s="110"/>
      <c r="D81" s="110"/>
      <c r="E81" s="110"/>
      <c r="F81" s="110"/>
      <c r="G81" s="110"/>
      <c r="H81" s="110"/>
      <c r="I81" s="110"/>
      <c r="J81" s="63" t="s">
        <v>20</v>
      </c>
      <c r="K81" s="51" t="str">
        <f>'MS - Detail'!D73</f>
        <v>NA</v>
      </c>
      <c r="L81" s="63">
        <v>0.5</v>
      </c>
      <c r="M81" s="63" t="str">
        <f>IF(K81="NA", "NA", IF(K81="Y",0.5,0))</f>
        <v>NA</v>
      </c>
    </row>
    <row r="82" spans="1:13" x14ac:dyDescent="0.35">
      <c r="A82" s="63">
        <v>4</v>
      </c>
      <c r="B82" s="110" t="s">
        <v>76</v>
      </c>
      <c r="C82" s="110"/>
      <c r="D82" s="110"/>
      <c r="E82" s="110"/>
      <c r="F82" s="110"/>
      <c r="G82" s="110"/>
      <c r="H82" s="110"/>
      <c r="I82" s="110"/>
      <c r="J82" s="63" t="s">
        <v>20</v>
      </c>
      <c r="K82" s="51" t="str">
        <f>'MS - Detail'!D77</f>
        <v>NA</v>
      </c>
      <c r="L82" s="63">
        <v>0.5</v>
      </c>
      <c r="M82" s="63" t="str">
        <f>IF(K82="NA", "NA", IF(K82="Y",0.5,0))</f>
        <v>NA</v>
      </c>
    </row>
    <row r="83" spans="1:13" ht="105.75" customHeight="1" x14ac:dyDescent="0.35">
      <c r="A83" s="63">
        <v>5</v>
      </c>
      <c r="B83" s="110" t="s">
        <v>77</v>
      </c>
      <c r="C83" s="110"/>
      <c r="D83" s="110"/>
      <c r="E83" s="110"/>
      <c r="F83" s="110"/>
      <c r="G83" s="110"/>
      <c r="H83" s="110"/>
      <c r="I83" s="110"/>
      <c r="J83" s="63" t="s">
        <v>20</v>
      </c>
      <c r="K83" s="51" t="str">
        <f>'MS - Detail'!D81</f>
        <v>NA</v>
      </c>
      <c r="L83" s="63">
        <v>0.5</v>
      </c>
      <c r="M83" s="63" t="str">
        <f>IF(K83="NA", "NA", IF(K83="Y",0.5,0))</f>
        <v>NA</v>
      </c>
    </row>
    <row r="84" spans="1:13" ht="60.65" customHeight="1" x14ac:dyDescent="0.35">
      <c r="A84" s="63">
        <v>6</v>
      </c>
      <c r="B84" s="110" t="s">
        <v>78</v>
      </c>
      <c r="C84" s="110"/>
      <c r="D84" s="110"/>
      <c r="E84" s="110"/>
      <c r="F84" s="110"/>
      <c r="G84" s="110"/>
      <c r="H84" s="110"/>
      <c r="I84" s="110"/>
      <c r="J84" s="63" t="s">
        <v>20</v>
      </c>
      <c r="K84" s="51" t="str">
        <f>'MS - Detail'!D85</f>
        <v>NA</v>
      </c>
      <c r="L84" s="63">
        <v>0.5</v>
      </c>
      <c r="M84" s="63" t="str">
        <f>IF(K84="NA", "NA", IF(K84="Y",0.5,0))</f>
        <v>NA</v>
      </c>
    </row>
    <row r="85" spans="1:13" x14ac:dyDescent="0.35">
      <c r="A85" s="105" t="s">
        <v>68</v>
      </c>
      <c r="B85" s="105"/>
      <c r="C85" s="105"/>
      <c r="D85" s="105"/>
      <c r="E85" s="105"/>
      <c r="F85" s="105"/>
      <c r="G85" s="105"/>
      <c r="H85" s="105"/>
      <c r="I85" s="105"/>
      <c r="J85" s="105"/>
      <c r="K85" s="105"/>
      <c r="L85" s="105"/>
      <c r="M85" s="67">
        <f>SUM(M79:M84)</f>
        <v>0</v>
      </c>
    </row>
    <row r="86" spans="1:13" x14ac:dyDescent="0.35">
      <c r="A86" s="3"/>
      <c r="B86" s="3"/>
      <c r="C86" s="3"/>
      <c r="D86" s="3"/>
      <c r="E86" s="3"/>
      <c r="F86" s="3"/>
      <c r="G86" s="3"/>
      <c r="H86" s="3"/>
      <c r="I86" s="3"/>
      <c r="J86" s="3"/>
      <c r="K86" s="3"/>
      <c r="L86" s="3"/>
      <c r="M86" s="3"/>
    </row>
    <row r="87" spans="1:13" x14ac:dyDescent="0.35">
      <c r="A87" s="1"/>
      <c r="B87" s="1"/>
      <c r="C87" s="1"/>
      <c r="D87" s="1"/>
      <c r="E87" s="1"/>
      <c r="F87" s="1"/>
      <c r="G87" s="1"/>
      <c r="H87" s="1"/>
      <c r="I87" s="1"/>
      <c r="J87" s="1"/>
      <c r="K87" s="1"/>
      <c r="L87" s="1"/>
      <c r="M87" s="1"/>
    </row>
    <row r="88" spans="1:13" x14ac:dyDescent="0.35">
      <c r="A88" s="1"/>
      <c r="B88" s="1"/>
      <c r="C88" s="1"/>
      <c r="D88" s="1"/>
      <c r="E88" s="1"/>
      <c r="F88" s="1"/>
      <c r="G88" s="1"/>
      <c r="H88" s="1"/>
      <c r="I88" s="1"/>
      <c r="J88" s="1"/>
      <c r="K88" s="1"/>
      <c r="L88" s="1"/>
      <c r="M88" s="1"/>
    </row>
    <row r="89" spans="1:13" x14ac:dyDescent="0.35">
      <c r="A89" s="1"/>
      <c r="B89" s="1"/>
      <c r="C89" s="1"/>
      <c r="D89" s="1"/>
      <c r="E89" s="1"/>
      <c r="F89" s="1"/>
      <c r="G89" s="1"/>
      <c r="H89" s="1"/>
      <c r="I89" s="1"/>
      <c r="J89" s="1"/>
      <c r="K89" s="1"/>
      <c r="L89" s="1"/>
      <c r="M89" s="1"/>
    </row>
    <row r="90" spans="1:13" x14ac:dyDescent="0.35">
      <c r="A90" s="1"/>
      <c r="B90" s="1"/>
      <c r="C90" s="1"/>
      <c r="D90" s="1"/>
      <c r="E90" s="1"/>
      <c r="F90" s="1"/>
      <c r="G90" s="1"/>
      <c r="H90" s="1"/>
      <c r="I90" s="1"/>
      <c r="J90" s="1"/>
      <c r="K90" s="1"/>
      <c r="L90" s="1"/>
      <c r="M90" s="1"/>
    </row>
    <row r="91" spans="1:13" x14ac:dyDescent="0.35">
      <c r="A91" s="1"/>
      <c r="B91" s="1"/>
      <c r="C91" s="1"/>
      <c r="D91" s="1"/>
      <c r="E91" s="1"/>
      <c r="F91" s="1"/>
      <c r="G91" s="1"/>
      <c r="H91" s="1"/>
      <c r="I91" s="1"/>
      <c r="J91" s="1"/>
      <c r="K91" s="1"/>
      <c r="L91" s="1"/>
      <c r="M91" s="1"/>
    </row>
    <row r="92" spans="1:13" x14ac:dyDescent="0.35">
      <c r="A92" s="1"/>
      <c r="B92" s="1"/>
      <c r="C92" s="1"/>
      <c r="D92" s="1"/>
      <c r="E92" s="1"/>
      <c r="F92" s="1"/>
      <c r="G92" s="1"/>
      <c r="H92" s="1"/>
      <c r="I92" s="1"/>
      <c r="J92" s="1"/>
      <c r="K92" s="1"/>
      <c r="L92" s="1"/>
      <c r="M92" s="1"/>
    </row>
    <row r="93" spans="1:13" x14ac:dyDescent="0.35">
      <c r="A93" s="1"/>
      <c r="B93" s="1"/>
      <c r="C93" s="1"/>
      <c r="D93" s="1"/>
      <c r="E93" s="1"/>
      <c r="F93" s="1"/>
      <c r="G93" s="1"/>
      <c r="H93" s="1"/>
      <c r="I93" s="1"/>
      <c r="J93" s="1"/>
      <c r="K93" s="1"/>
      <c r="L93" s="1"/>
      <c r="M93" s="1"/>
    </row>
    <row r="94" spans="1:13" x14ac:dyDescent="0.35">
      <c r="A94" s="1"/>
      <c r="B94" s="1"/>
      <c r="C94" s="1"/>
      <c r="D94" s="1"/>
      <c r="E94" s="1"/>
      <c r="F94" s="1"/>
      <c r="G94" s="1"/>
      <c r="H94" s="1"/>
      <c r="I94" s="1"/>
      <c r="J94" s="1"/>
      <c r="K94" s="1"/>
      <c r="L94" s="1"/>
      <c r="M94" s="1"/>
    </row>
  </sheetData>
  <sheetProtection sheet="1" objects="1" scenarios="1" selectLockedCells="1"/>
  <mergeCells count="167">
    <mergeCell ref="L8:M9"/>
    <mergeCell ref="A10:C11"/>
    <mergeCell ref="D10:E11"/>
    <mergeCell ref="F10:G11"/>
    <mergeCell ref="J10:K11"/>
    <mergeCell ref="L10:M11"/>
    <mergeCell ref="H11:I11"/>
    <mergeCell ref="B2:M2"/>
    <mergeCell ref="B3:M3"/>
    <mergeCell ref="A5:M5"/>
    <mergeCell ref="A6:M6"/>
    <mergeCell ref="A7:M7"/>
    <mergeCell ref="A8:C9"/>
    <mergeCell ref="D8:E9"/>
    <mergeCell ref="F8:G9"/>
    <mergeCell ref="H8:I8"/>
    <mergeCell ref="J8:K9"/>
    <mergeCell ref="L20:M20"/>
    <mergeCell ref="I21:K21"/>
    <mergeCell ref="L21:M21"/>
    <mergeCell ref="I22:K22"/>
    <mergeCell ref="L22:M22"/>
    <mergeCell ref="B12:C12"/>
    <mergeCell ref="A13:M13"/>
    <mergeCell ref="B14:G14"/>
    <mergeCell ref="A15:A22"/>
    <mergeCell ref="C15:G15"/>
    <mergeCell ref="C16:G16"/>
    <mergeCell ref="C17:G17"/>
    <mergeCell ref="C18:G18"/>
    <mergeCell ref="B19:H22"/>
    <mergeCell ref="I19:K19"/>
    <mergeCell ref="B23:G23"/>
    <mergeCell ref="A24:A32"/>
    <mergeCell ref="C24:G24"/>
    <mergeCell ref="C25:G25"/>
    <mergeCell ref="C26:G26"/>
    <mergeCell ref="C27:G27"/>
    <mergeCell ref="C28:G28"/>
    <mergeCell ref="B29:H32"/>
    <mergeCell ref="I20:K20"/>
    <mergeCell ref="B33:G33"/>
    <mergeCell ref="A34:A38"/>
    <mergeCell ref="C34:G34"/>
    <mergeCell ref="B35:H38"/>
    <mergeCell ref="I35:K35"/>
    <mergeCell ref="I36:K36"/>
    <mergeCell ref="I29:K29"/>
    <mergeCell ref="I30:K30"/>
    <mergeCell ref="L30:M30"/>
    <mergeCell ref="I31:K31"/>
    <mergeCell ref="L31:M31"/>
    <mergeCell ref="I32:K32"/>
    <mergeCell ref="L32:M32"/>
    <mergeCell ref="A41:K41"/>
    <mergeCell ref="L41:M41"/>
    <mergeCell ref="A42:K42"/>
    <mergeCell ref="L42:M42"/>
    <mergeCell ref="A43:K43"/>
    <mergeCell ref="L43:M43"/>
    <mergeCell ref="L36:M36"/>
    <mergeCell ref="I37:K37"/>
    <mergeCell ref="L37:M37"/>
    <mergeCell ref="I38:K38"/>
    <mergeCell ref="L38:M38"/>
    <mergeCell ref="A40:K40"/>
    <mergeCell ref="L40:M40"/>
    <mergeCell ref="A48:G48"/>
    <mergeCell ref="H48:J48"/>
    <mergeCell ref="K48:M48"/>
    <mergeCell ref="A49:G49"/>
    <mergeCell ref="H49:J49"/>
    <mergeCell ref="K49:M49"/>
    <mergeCell ref="A44:K44"/>
    <mergeCell ref="L44:M44"/>
    <mergeCell ref="A46:M46"/>
    <mergeCell ref="A47:G47"/>
    <mergeCell ref="H47:J47"/>
    <mergeCell ref="K47:M47"/>
    <mergeCell ref="A52:G52"/>
    <mergeCell ref="H52:J52"/>
    <mergeCell ref="K52:M52"/>
    <mergeCell ref="A53:G53"/>
    <mergeCell ref="H53:M53"/>
    <mergeCell ref="A54:G54"/>
    <mergeCell ref="H54:M54"/>
    <mergeCell ref="A50:G50"/>
    <mergeCell ref="H50:J50"/>
    <mergeCell ref="K50:M50"/>
    <mergeCell ref="A51:G51"/>
    <mergeCell ref="H51:J51"/>
    <mergeCell ref="K51:M51"/>
    <mergeCell ref="A59:M59"/>
    <mergeCell ref="A60:E60"/>
    <mergeCell ref="F60:G60"/>
    <mergeCell ref="H60:I60"/>
    <mergeCell ref="J60:K60"/>
    <mergeCell ref="L60:M60"/>
    <mergeCell ref="A55:G55"/>
    <mergeCell ref="H55:M55"/>
    <mergeCell ref="A56:G56"/>
    <mergeCell ref="H56:M56"/>
    <mergeCell ref="A57:G57"/>
    <mergeCell ref="H57:M57"/>
    <mergeCell ref="A61:E61"/>
    <mergeCell ref="F61:G61"/>
    <mergeCell ref="H61:I61"/>
    <mergeCell ref="J61:K61"/>
    <mergeCell ref="L61:M61"/>
    <mergeCell ref="A62:E62"/>
    <mergeCell ref="F62:G62"/>
    <mergeCell ref="H62:I62"/>
    <mergeCell ref="J62:K62"/>
    <mergeCell ref="L62:M62"/>
    <mergeCell ref="A65:E65"/>
    <mergeCell ref="F65:G65"/>
    <mergeCell ref="H65:I65"/>
    <mergeCell ref="J65:K65"/>
    <mergeCell ref="L65:M65"/>
    <mergeCell ref="A66:E66"/>
    <mergeCell ref="F66:M66"/>
    <mergeCell ref="A63:E63"/>
    <mergeCell ref="F63:G63"/>
    <mergeCell ref="H63:I63"/>
    <mergeCell ref="J63:K63"/>
    <mergeCell ref="L63:M63"/>
    <mergeCell ref="A64:E64"/>
    <mergeCell ref="F64:G64"/>
    <mergeCell ref="H64:I64"/>
    <mergeCell ref="J64:K64"/>
    <mergeCell ref="L64:M64"/>
    <mergeCell ref="A67:E67"/>
    <mergeCell ref="F67:M67"/>
    <mergeCell ref="A68:E68"/>
    <mergeCell ref="F68:M68"/>
    <mergeCell ref="A70:M70"/>
    <mergeCell ref="A71:C71"/>
    <mergeCell ref="D71:E71"/>
    <mergeCell ref="F71:G71"/>
    <mergeCell ref="H71:J71"/>
    <mergeCell ref="K71:M71"/>
    <mergeCell ref="A74:C74"/>
    <mergeCell ref="D74:E74"/>
    <mergeCell ref="F74:G74"/>
    <mergeCell ref="H74:J74"/>
    <mergeCell ref="K74:M74"/>
    <mergeCell ref="A75:G75"/>
    <mergeCell ref="H75:M75"/>
    <mergeCell ref="A72:C72"/>
    <mergeCell ref="D72:E72"/>
    <mergeCell ref="F72:G72"/>
    <mergeCell ref="H72:J72"/>
    <mergeCell ref="K72:M72"/>
    <mergeCell ref="A73:C73"/>
    <mergeCell ref="D73:E73"/>
    <mergeCell ref="F73:G73"/>
    <mergeCell ref="H73:J73"/>
    <mergeCell ref="K73:M73"/>
    <mergeCell ref="B82:I82"/>
    <mergeCell ref="B83:I83"/>
    <mergeCell ref="B84:I84"/>
    <mergeCell ref="A85:L85"/>
    <mergeCell ref="A77:M77"/>
    <mergeCell ref="B78:I78"/>
    <mergeCell ref="B79:I79"/>
    <mergeCell ref="B80:I80"/>
    <mergeCell ref="B81:I81"/>
  </mergeCells>
  <pageMargins left="0.25" right="0.25" top="0.75" bottom="0.75" header="0.2" footer="0.2"/>
  <pageSetup orientation="landscape" r:id="rId1"/>
  <headerFooter>
    <oddHeader>&amp;C2016 CCRPI Calculator
Middle Schools</oddHeader>
  </headerFooter>
  <rowBreaks count="4" manualBreakCount="4">
    <brk id="22" max="16383" man="1"/>
    <brk id="32" max="16383" man="1"/>
    <brk id="58" max="16383" man="1"/>
    <brk id="7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85"/>
  <sheetViews>
    <sheetView workbookViewId="0">
      <selection activeCell="C6" sqref="C6"/>
    </sheetView>
  </sheetViews>
  <sheetFormatPr defaultColWidth="9.1796875" defaultRowHeight="14.5" x14ac:dyDescent="0.35"/>
  <cols>
    <col min="1" max="1" width="3.81640625" style="20" customWidth="1"/>
    <col min="2" max="2" width="39.81640625" style="20" bestFit="1" customWidth="1"/>
    <col min="3" max="13" width="12.1796875" style="20" customWidth="1"/>
    <col min="14" max="16384" width="9.1796875" style="20"/>
  </cols>
  <sheetData>
    <row r="1" spans="1:13" ht="18.5" x14ac:dyDescent="0.35">
      <c r="A1" s="91" t="s">
        <v>4</v>
      </c>
      <c r="B1" s="91"/>
      <c r="C1" s="91"/>
      <c r="D1" s="91"/>
      <c r="E1" s="91"/>
      <c r="F1" s="91"/>
      <c r="G1" s="91"/>
      <c r="H1" s="91"/>
      <c r="I1" s="91"/>
      <c r="J1" s="91"/>
      <c r="K1" s="91"/>
      <c r="L1" s="91"/>
      <c r="M1" s="91"/>
    </row>
    <row r="3" spans="1:13" ht="15.5" x14ac:dyDescent="0.35">
      <c r="A3" s="144" t="s">
        <v>19</v>
      </c>
      <c r="B3" s="144"/>
      <c r="C3" s="144"/>
      <c r="D3" s="144"/>
      <c r="E3" s="144"/>
      <c r="F3" s="144"/>
      <c r="G3" s="144"/>
      <c r="H3" s="144"/>
      <c r="I3" s="144"/>
      <c r="J3" s="144"/>
      <c r="K3" s="144"/>
      <c r="L3" s="144"/>
      <c r="M3" s="145"/>
    </row>
    <row r="4" spans="1:13" ht="15" thickBot="1" x14ac:dyDescent="0.4">
      <c r="A4" s="146" t="s">
        <v>109</v>
      </c>
      <c r="B4" s="146"/>
      <c r="C4" s="146"/>
      <c r="D4" s="146"/>
      <c r="E4" s="146"/>
      <c r="F4" s="146"/>
      <c r="G4" s="147"/>
      <c r="H4" s="147"/>
      <c r="I4" s="147"/>
      <c r="J4" s="147"/>
      <c r="K4" s="146"/>
      <c r="L4" s="146"/>
      <c r="M4" s="23"/>
    </row>
    <row r="5" spans="1:13" s="21" customFormat="1" ht="44" thickBot="1" x14ac:dyDescent="0.4">
      <c r="A5" s="15"/>
      <c r="B5" s="15" t="s">
        <v>80</v>
      </c>
      <c r="C5" s="15" t="s">
        <v>82</v>
      </c>
      <c r="D5" s="15" t="s">
        <v>83</v>
      </c>
      <c r="E5" s="15" t="s">
        <v>81</v>
      </c>
      <c r="F5" s="33" t="s">
        <v>84</v>
      </c>
      <c r="G5" s="36" t="s">
        <v>85</v>
      </c>
      <c r="H5" s="37" t="s">
        <v>86</v>
      </c>
      <c r="I5" s="37" t="s">
        <v>87</v>
      </c>
      <c r="J5" s="38" t="s">
        <v>88</v>
      </c>
      <c r="K5" s="34" t="s">
        <v>107</v>
      </c>
      <c r="L5" s="15" t="s">
        <v>89</v>
      </c>
      <c r="M5" s="24"/>
    </row>
    <row r="6" spans="1:13" x14ac:dyDescent="0.35">
      <c r="A6" s="16">
        <v>1</v>
      </c>
      <c r="B6" s="16" t="s">
        <v>79</v>
      </c>
      <c r="C6" s="53"/>
      <c r="D6" s="53"/>
      <c r="E6" s="17" t="str">
        <f>IF(C6="","NA", IF(D6&gt;C6, "NA", IF(C6&lt;15,"TFS", ROUND((D6/C6)*100,3))))</f>
        <v>NA</v>
      </c>
      <c r="F6" s="53"/>
      <c r="G6" s="54"/>
      <c r="H6" s="54"/>
      <c r="I6" s="54"/>
      <c r="J6" s="54"/>
      <c r="K6" s="18">
        <f>G6*0.5+H6*1+I6*1+J6*1.5</f>
        <v>0</v>
      </c>
      <c r="L6" s="18" t="str">
        <f>IF(F6="", "NA", IF(F6=0, "NA", IF(F6&lt;15, "TFS", ROUND((K6/F6)*100,3))))</f>
        <v>NA</v>
      </c>
      <c r="M6" s="23"/>
    </row>
    <row r="7" spans="1:13" x14ac:dyDescent="0.35">
      <c r="A7" s="16">
        <v>2</v>
      </c>
      <c r="B7" s="16" t="s">
        <v>45</v>
      </c>
      <c r="C7" s="53"/>
      <c r="D7" s="53"/>
      <c r="E7" s="17" t="str">
        <f t="shared" ref="E7:E9" si="0">IF(C7="","NA", IF(D7&gt;C7, "NA", IF(C7&lt;15,"TFS", ROUND((D7/C7)*100,3))))</f>
        <v>NA</v>
      </c>
      <c r="F7" s="53"/>
      <c r="G7" s="53"/>
      <c r="H7" s="53"/>
      <c r="I7" s="53"/>
      <c r="J7" s="53"/>
      <c r="K7" s="18">
        <f t="shared" ref="K7:K9" si="1">G7*0.5+H7*1+I7*1+J7*1.5</f>
        <v>0</v>
      </c>
      <c r="L7" s="18" t="str">
        <f t="shared" ref="L7:L9" si="2">IF(F7="", "NA", IF(F7=0, "NA", IF(F7&lt;15, "TFS", ROUND((K7/F7)*100,3))))</f>
        <v>NA</v>
      </c>
      <c r="M7" s="23"/>
    </row>
    <row r="8" spans="1:13" x14ac:dyDescent="0.35">
      <c r="A8" s="16">
        <v>3</v>
      </c>
      <c r="B8" s="16" t="s">
        <v>46</v>
      </c>
      <c r="C8" s="53"/>
      <c r="D8" s="53"/>
      <c r="E8" s="17" t="str">
        <f t="shared" si="0"/>
        <v>NA</v>
      </c>
      <c r="F8" s="53"/>
      <c r="G8" s="53"/>
      <c r="H8" s="53"/>
      <c r="I8" s="53"/>
      <c r="J8" s="53"/>
      <c r="K8" s="18">
        <f t="shared" si="1"/>
        <v>0</v>
      </c>
      <c r="L8" s="18" t="str">
        <f t="shared" si="2"/>
        <v>NA</v>
      </c>
      <c r="M8" s="23"/>
    </row>
    <row r="9" spans="1:13" x14ac:dyDescent="0.35">
      <c r="A9" s="16">
        <v>4</v>
      </c>
      <c r="B9" s="16" t="s">
        <v>47</v>
      </c>
      <c r="C9" s="53"/>
      <c r="D9" s="53"/>
      <c r="E9" s="17" t="str">
        <f t="shared" si="0"/>
        <v>NA</v>
      </c>
      <c r="F9" s="53"/>
      <c r="G9" s="53"/>
      <c r="H9" s="53"/>
      <c r="I9" s="53"/>
      <c r="J9" s="53"/>
      <c r="K9" s="18">
        <f t="shared" si="1"/>
        <v>0</v>
      </c>
      <c r="L9" s="18" t="str">
        <f t="shared" si="2"/>
        <v>NA</v>
      </c>
      <c r="M9" s="23"/>
    </row>
    <row r="10" spans="1:13" x14ac:dyDescent="0.35">
      <c r="A10" s="25"/>
      <c r="B10" s="25"/>
      <c r="C10" s="25"/>
      <c r="D10" s="25"/>
      <c r="E10" s="25"/>
      <c r="F10" s="25"/>
      <c r="G10" s="25"/>
      <c r="H10" s="25"/>
      <c r="I10" s="25"/>
      <c r="J10" s="25"/>
      <c r="K10" s="25"/>
      <c r="L10" s="25"/>
    </row>
    <row r="11" spans="1:13" ht="15.5" x14ac:dyDescent="0.35">
      <c r="A11" s="144" t="s">
        <v>162</v>
      </c>
      <c r="B11" s="144"/>
      <c r="C11" s="144"/>
      <c r="D11" s="144"/>
      <c r="E11" s="144"/>
      <c r="F11" s="145"/>
      <c r="G11" s="145"/>
      <c r="H11" s="145"/>
      <c r="I11" s="145"/>
      <c r="J11" s="145"/>
      <c r="K11" s="145"/>
      <c r="L11" s="145"/>
      <c r="M11" s="145"/>
    </row>
    <row r="12" spans="1:13" x14ac:dyDescent="0.35">
      <c r="A12" s="146" t="s">
        <v>110</v>
      </c>
      <c r="B12" s="146"/>
      <c r="C12" s="146"/>
      <c r="D12" s="146"/>
      <c r="E12" s="146"/>
      <c r="F12" s="26"/>
      <c r="G12" s="22"/>
      <c r="H12" s="22"/>
    </row>
    <row r="13" spans="1:13" ht="87" x14ac:dyDescent="0.35">
      <c r="A13" s="27"/>
      <c r="B13" s="27"/>
      <c r="C13" s="15" t="s">
        <v>101</v>
      </c>
      <c r="D13" s="15" t="s">
        <v>102</v>
      </c>
      <c r="E13" s="15" t="s">
        <v>71</v>
      </c>
      <c r="F13" s="23"/>
    </row>
    <row r="14" spans="1:13" x14ac:dyDescent="0.35">
      <c r="A14" s="16">
        <v>5</v>
      </c>
      <c r="B14" s="28" t="s">
        <v>90</v>
      </c>
      <c r="C14" s="53"/>
      <c r="D14" s="53"/>
      <c r="E14" s="18" t="str">
        <f>IF(C14="","NA",IF(C14=0,"NA",IF(C14&lt;15,"TFS",IF(D14="","NA",IF(D14&gt;C14,"NA",ROUND((D14/C14)*100,3))))))</f>
        <v>NA</v>
      </c>
      <c r="F14" s="23"/>
    </row>
    <row r="15" spans="1:13" x14ac:dyDescent="0.35">
      <c r="A15" s="29"/>
      <c r="B15" s="29"/>
      <c r="C15" s="29"/>
      <c r="D15" s="29"/>
      <c r="E15" s="29"/>
    </row>
    <row r="16" spans="1:13" x14ac:dyDescent="0.35">
      <c r="A16" s="146" t="s">
        <v>111</v>
      </c>
      <c r="B16" s="146"/>
      <c r="C16" s="146"/>
      <c r="D16" s="146"/>
      <c r="E16" s="146"/>
      <c r="F16" s="26"/>
      <c r="G16" s="22"/>
      <c r="H16" s="22"/>
    </row>
    <row r="17" spans="1:13" ht="174" x14ac:dyDescent="0.35">
      <c r="A17" s="27"/>
      <c r="B17" s="27"/>
      <c r="C17" s="15" t="s">
        <v>112</v>
      </c>
      <c r="D17" s="15" t="s">
        <v>96</v>
      </c>
      <c r="E17" s="15" t="s">
        <v>71</v>
      </c>
      <c r="F17" s="23"/>
    </row>
    <row r="18" spans="1:13" x14ac:dyDescent="0.35">
      <c r="A18" s="16">
        <v>6</v>
      </c>
      <c r="B18" s="28" t="s">
        <v>91</v>
      </c>
      <c r="C18" s="53"/>
      <c r="D18" s="53"/>
      <c r="E18" s="18" t="str">
        <f>IF(C18="","NA",IF(C18=0,"NA",IF(C18&lt;15,"TFS",IF(D18="","NA",IF(D18&gt;C18,"NA",ROUND((D18/C18)*100,3))))))</f>
        <v>NA</v>
      </c>
      <c r="F18" s="23"/>
    </row>
    <row r="19" spans="1:13" x14ac:dyDescent="0.35">
      <c r="A19" s="29"/>
      <c r="B19" s="29"/>
      <c r="C19" s="29"/>
      <c r="D19" s="29"/>
      <c r="E19" s="29"/>
      <c r="F19" s="30"/>
    </row>
    <row r="20" spans="1:13" x14ac:dyDescent="0.35">
      <c r="A20" s="146" t="s">
        <v>113</v>
      </c>
      <c r="B20" s="146"/>
      <c r="C20" s="146"/>
      <c r="D20" s="146"/>
      <c r="E20" s="146"/>
      <c r="F20" s="146"/>
      <c r="G20" s="23"/>
    </row>
    <row r="21" spans="1:13" ht="72.5" x14ac:dyDescent="0.35">
      <c r="A21" s="27"/>
      <c r="B21" s="27"/>
      <c r="C21" s="15" t="s">
        <v>250</v>
      </c>
      <c r="D21" s="15" t="s">
        <v>114</v>
      </c>
      <c r="E21" s="15" t="s">
        <v>249</v>
      </c>
      <c r="F21" s="15" t="s">
        <v>71</v>
      </c>
      <c r="G21" s="23"/>
    </row>
    <row r="22" spans="1:13" x14ac:dyDescent="0.35">
      <c r="A22" s="16">
        <v>7</v>
      </c>
      <c r="B22" s="28" t="s">
        <v>248</v>
      </c>
      <c r="C22" s="18">
        <v>8</v>
      </c>
      <c r="D22" s="53"/>
      <c r="E22" s="53"/>
      <c r="F22" s="18" t="str">
        <f>IF(D22="","NA",IF(D22=0,"NA",IF(D22&lt;15,"TFS",IF(E22="","NA",IF(E22&gt;D22,"NA",ROUND((E22/D22)*100,3))))))</f>
        <v>NA</v>
      </c>
      <c r="G22" s="23"/>
    </row>
    <row r="23" spans="1:13" x14ac:dyDescent="0.35">
      <c r="A23" s="29"/>
      <c r="B23" s="29"/>
      <c r="C23" s="29"/>
      <c r="D23" s="29"/>
      <c r="E23" s="29"/>
      <c r="F23" s="29"/>
      <c r="G23" s="30"/>
      <c r="H23" s="30"/>
      <c r="I23" s="30"/>
    </row>
    <row r="24" spans="1:13" ht="15" thickBot="1" x14ac:dyDescent="0.4">
      <c r="A24" s="146" t="s">
        <v>168</v>
      </c>
      <c r="B24" s="146"/>
      <c r="C24" s="147"/>
      <c r="D24" s="146"/>
      <c r="E24" s="146"/>
      <c r="F24" s="23"/>
    </row>
    <row r="25" spans="1:13" ht="73" thickBot="1" x14ac:dyDescent="0.4">
      <c r="A25" s="27"/>
      <c r="B25" s="74"/>
      <c r="C25" s="19" t="s">
        <v>169</v>
      </c>
      <c r="D25" s="34" t="s">
        <v>170</v>
      </c>
      <c r="E25" s="15" t="s">
        <v>71</v>
      </c>
      <c r="F25" s="23"/>
    </row>
    <row r="26" spans="1:13" x14ac:dyDescent="0.35">
      <c r="A26" s="16">
        <v>8</v>
      </c>
      <c r="B26" s="28" t="s">
        <v>165</v>
      </c>
      <c r="C26" s="54"/>
      <c r="D26" s="53"/>
      <c r="E26" s="18" t="str">
        <f>IF(C26="","NA",IF(C26=0,"NA",IF(C26&lt;15,"TFS",IF(D26="","NA",IF(D26&gt;C26,"NA",ROUND((D26/C26)*100,3))))))</f>
        <v>NA</v>
      </c>
      <c r="F26" s="23"/>
    </row>
    <row r="27" spans="1:13" ht="15" thickBot="1" x14ac:dyDescent="0.4">
      <c r="A27" s="29"/>
      <c r="B27" s="31"/>
      <c r="C27" s="29"/>
      <c r="D27" s="29"/>
      <c r="E27" s="29"/>
      <c r="F27" s="25"/>
      <c r="G27" s="25"/>
    </row>
    <row r="28" spans="1:13" ht="15" thickBot="1" x14ac:dyDescent="0.4">
      <c r="A28" s="149" t="s">
        <v>122</v>
      </c>
      <c r="B28" s="148"/>
      <c r="C28" s="148"/>
      <c r="D28" s="148"/>
      <c r="E28" s="148"/>
      <c r="F28" s="61"/>
      <c r="G28" s="23"/>
    </row>
    <row r="29" spans="1:13" ht="29.5" thickBot="1" x14ac:dyDescent="0.4">
      <c r="A29" s="27"/>
      <c r="B29" s="32"/>
      <c r="C29" s="15" t="s">
        <v>105</v>
      </c>
      <c r="D29" s="15" t="s">
        <v>106</v>
      </c>
      <c r="E29" s="15" t="s">
        <v>71</v>
      </c>
      <c r="F29" s="59"/>
      <c r="G29" s="23"/>
    </row>
    <row r="30" spans="1:13" ht="15" thickBot="1" x14ac:dyDescent="0.4">
      <c r="A30" s="16">
        <v>10</v>
      </c>
      <c r="B30" s="28" t="s">
        <v>94</v>
      </c>
      <c r="C30" s="53"/>
      <c r="D30" s="53"/>
      <c r="E30" s="18" t="str">
        <f>IF(C30="","NA",IF(C30=0,"NA",IF(C30&lt;15,"TFS",IF(D30="","NA",IF(D30&gt;C30,"NA",ROUND((D30/C30)*100,3))))))</f>
        <v>NA</v>
      </c>
      <c r="F30" s="59"/>
      <c r="G30" s="23"/>
    </row>
    <row r="31" spans="1:13" x14ac:dyDescent="0.35">
      <c r="A31" s="25"/>
      <c r="B31" s="25"/>
      <c r="C31" s="25"/>
      <c r="D31" s="25"/>
      <c r="E31" s="25"/>
      <c r="F31" s="25"/>
    </row>
    <row r="32" spans="1:13" ht="15.5" x14ac:dyDescent="0.35">
      <c r="A32" s="144" t="s">
        <v>36</v>
      </c>
      <c r="B32" s="144"/>
      <c r="C32" s="144"/>
      <c r="D32" s="144"/>
      <c r="E32" s="144"/>
      <c r="F32" s="144"/>
      <c r="G32" s="144"/>
      <c r="H32" s="144"/>
      <c r="I32" s="144"/>
      <c r="J32" s="144"/>
      <c r="K32" s="144"/>
      <c r="L32" s="144"/>
      <c r="M32" s="144"/>
    </row>
    <row r="33" spans="1:14" x14ac:dyDescent="0.35">
      <c r="A33" s="141" t="s">
        <v>109</v>
      </c>
      <c r="B33" s="142"/>
      <c r="C33" s="142"/>
      <c r="D33" s="142"/>
      <c r="E33" s="142"/>
      <c r="F33" s="142"/>
      <c r="G33" s="142"/>
      <c r="H33" s="142"/>
      <c r="I33" s="142"/>
      <c r="J33" s="142"/>
      <c r="K33" s="142"/>
      <c r="L33" s="142"/>
      <c r="M33" s="143"/>
      <c r="N33" s="23"/>
    </row>
    <row r="34" spans="1:14" ht="15" thickBot="1" x14ac:dyDescent="0.4">
      <c r="A34" s="16"/>
      <c r="B34" s="16"/>
      <c r="C34" s="150" t="s">
        <v>79</v>
      </c>
      <c r="D34" s="151"/>
      <c r="E34" s="150" t="s">
        <v>45</v>
      </c>
      <c r="F34" s="151"/>
      <c r="G34" s="150" t="s">
        <v>46</v>
      </c>
      <c r="H34" s="151"/>
      <c r="I34" s="150" t="s">
        <v>47</v>
      </c>
      <c r="J34" s="151"/>
      <c r="K34" s="16"/>
      <c r="L34" s="16"/>
      <c r="M34" s="16"/>
      <c r="N34" s="23"/>
    </row>
    <row r="35" spans="1:14" ht="44" thickBot="1" x14ac:dyDescent="0.4">
      <c r="A35" s="27"/>
      <c r="B35" s="27"/>
      <c r="C35" s="33" t="s">
        <v>84</v>
      </c>
      <c r="D35" s="19" t="s">
        <v>99</v>
      </c>
      <c r="E35" s="35" t="s">
        <v>84</v>
      </c>
      <c r="F35" s="19" t="s">
        <v>99</v>
      </c>
      <c r="G35" s="35" t="s">
        <v>84</v>
      </c>
      <c r="H35" s="19" t="s">
        <v>99</v>
      </c>
      <c r="I35" s="35" t="s">
        <v>84</v>
      </c>
      <c r="J35" s="19" t="s">
        <v>99</v>
      </c>
      <c r="K35" s="34" t="s">
        <v>124</v>
      </c>
      <c r="L35" s="15" t="s">
        <v>125</v>
      </c>
      <c r="M35" s="15" t="s">
        <v>71</v>
      </c>
      <c r="N35" s="23"/>
    </row>
    <row r="36" spans="1:14" x14ac:dyDescent="0.35">
      <c r="A36" s="16">
        <v>11</v>
      </c>
      <c r="B36" s="16" t="s">
        <v>123</v>
      </c>
      <c r="C36" s="53"/>
      <c r="D36" s="54"/>
      <c r="E36" s="53"/>
      <c r="F36" s="54"/>
      <c r="G36" s="53"/>
      <c r="H36" s="54"/>
      <c r="I36" s="53"/>
      <c r="J36" s="54"/>
      <c r="K36" s="18">
        <f>C36+E36+G36+I36</f>
        <v>0</v>
      </c>
      <c r="L36" s="18">
        <f>D36+F36+H36+J36</f>
        <v>0</v>
      </c>
      <c r="M36" s="18" t="str">
        <f>IF(K36="","NA",IF(K36=0,"NA",IF(K36&lt;15,"TFS",IF(L36="","NA",IF(L36&gt;K36,"NA",ROUND((L36/K36)*100,3))))))</f>
        <v>NA</v>
      </c>
      <c r="N36" s="23"/>
    </row>
    <row r="37" spans="1:14" x14ac:dyDescent="0.35">
      <c r="A37" s="25"/>
      <c r="B37" s="25"/>
      <c r="C37" s="25"/>
      <c r="D37" s="25"/>
      <c r="E37" s="25"/>
      <c r="F37" s="25"/>
      <c r="G37" s="25"/>
      <c r="H37" s="25"/>
      <c r="I37" s="25"/>
      <c r="J37" s="25"/>
      <c r="K37" s="25"/>
      <c r="L37" s="25"/>
      <c r="M37" s="25"/>
    </row>
    <row r="39" spans="1:14" ht="18.5" x14ac:dyDescent="0.35">
      <c r="A39" s="152" t="s">
        <v>5</v>
      </c>
      <c r="B39" s="152"/>
      <c r="C39" s="152"/>
      <c r="D39" s="152"/>
      <c r="E39" s="152"/>
      <c r="F39" s="152"/>
      <c r="G39" s="152"/>
      <c r="H39" s="152"/>
      <c r="I39" s="152"/>
      <c r="J39" s="152"/>
      <c r="K39" s="152"/>
      <c r="L39" s="152"/>
      <c r="M39" s="152"/>
    </row>
    <row r="40" spans="1:14" x14ac:dyDescent="0.35">
      <c r="A40" s="138" t="s">
        <v>126</v>
      </c>
      <c r="B40" s="139"/>
      <c r="C40" s="139"/>
      <c r="D40" s="139"/>
      <c r="E40" s="139"/>
      <c r="F40" s="139"/>
      <c r="G40" s="139"/>
      <c r="H40" s="139"/>
      <c r="I40" s="139"/>
      <c r="J40" s="140"/>
      <c r="K40" s="23"/>
    </row>
    <row r="41" spans="1:14" ht="31.5" customHeight="1" thickBot="1" x14ac:dyDescent="0.4">
      <c r="A41" s="16"/>
      <c r="B41" s="16"/>
      <c r="C41" s="153" t="s">
        <v>128</v>
      </c>
      <c r="D41" s="154"/>
      <c r="E41" s="153" t="s">
        <v>129</v>
      </c>
      <c r="F41" s="154"/>
      <c r="G41" s="153" t="s">
        <v>130</v>
      </c>
      <c r="H41" s="154"/>
      <c r="I41" s="153" t="s">
        <v>131</v>
      </c>
      <c r="J41" s="154"/>
    </row>
    <row r="42" spans="1:14" ht="58.5" thickBot="1" x14ac:dyDescent="0.4">
      <c r="A42" s="27"/>
      <c r="B42" s="27"/>
      <c r="C42" s="33" t="s">
        <v>84</v>
      </c>
      <c r="D42" s="19" t="s">
        <v>127</v>
      </c>
      <c r="E42" s="33" t="s">
        <v>84</v>
      </c>
      <c r="F42" s="19" t="s">
        <v>127</v>
      </c>
      <c r="G42" s="33" t="s">
        <v>84</v>
      </c>
      <c r="H42" s="19" t="s">
        <v>127</v>
      </c>
      <c r="I42" s="33" t="s">
        <v>84</v>
      </c>
      <c r="J42" s="19" t="s">
        <v>127</v>
      </c>
    </row>
    <row r="43" spans="1:14" x14ac:dyDescent="0.35">
      <c r="A43" s="16"/>
      <c r="B43" s="16" t="s">
        <v>5</v>
      </c>
      <c r="C43" s="53"/>
      <c r="D43" s="54"/>
      <c r="E43" s="53"/>
      <c r="F43" s="54"/>
      <c r="G43" s="53"/>
      <c r="H43" s="54"/>
      <c r="I43" s="53"/>
      <c r="J43" s="54"/>
    </row>
    <row r="45" spans="1:14" ht="18.5" x14ac:dyDescent="0.35">
      <c r="A45" s="152" t="s">
        <v>6</v>
      </c>
      <c r="B45" s="152"/>
      <c r="C45" s="152"/>
      <c r="D45" s="152"/>
      <c r="E45" s="152"/>
      <c r="F45" s="152"/>
      <c r="G45" s="152"/>
      <c r="H45" s="152"/>
      <c r="I45" s="152"/>
      <c r="J45" s="152"/>
      <c r="K45" s="152"/>
      <c r="L45" s="152"/>
      <c r="M45" s="152"/>
    </row>
    <row r="46" spans="1:14" x14ac:dyDescent="0.35">
      <c r="A46" s="138" t="s">
        <v>132</v>
      </c>
      <c r="B46" s="139"/>
      <c r="C46" s="139"/>
      <c r="D46" s="139"/>
      <c r="E46" s="139"/>
      <c r="F46" s="139"/>
      <c r="G46" s="139"/>
      <c r="H46" s="139"/>
      <c r="I46" s="139"/>
      <c r="J46" s="139"/>
      <c r="K46" s="140"/>
      <c r="L46" s="23"/>
    </row>
    <row r="47" spans="1:14" s="41" customFormat="1" ht="87" x14ac:dyDescent="0.35">
      <c r="A47" s="40"/>
      <c r="B47" s="40"/>
      <c r="C47" s="68" t="s">
        <v>84</v>
      </c>
      <c r="D47" s="68" t="s">
        <v>137</v>
      </c>
      <c r="E47" s="68" t="s">
        <v>133</v>
      </c>
      <c r="F47" s="68" t="s">
        <v>134</v>
      </c>
      <c r="G47" s="68" t="s">
        <v>52</v>
      </c>
      <c r="H47" s="68" t="s">
        <v>135</v>
      </c>
      <c r="I47" s="68" t="s">
        <v>138</v>
      </c>
      <c r="J47" s="68" t="s">
        <v>139</v>
      </c>
      <c r="K47" s="68" t="s">
        <v>136</v>
      </c>
      <c r="L47" s="42"/>
    </row>
    <row r="48" spans="1:14" x14ac:dyDescent="0.35">
      <c r="A48" s="16"/>
      <c r="B48" s="16" t="s">
        <v>79</v>
      </c>
      <c r="C48" s="53"/>
      <c r="D48" s="55"/>
      <c r="E48" s="53"/>
      <c r="F48" s="18">
        <v>0</v>
      </c>
      <c r="G48" s="18" t="str">
        <f>IF(E48="","NA",(IF(D48="","NA",IF(D48&lt;15,"TFS",ROUND(F48-E48,2)))))</f>
        <v>NA</v>
      </c>
      <c r="H48" s="18" t="str">
        <f>IF(G48="NA","NA", IF(G48="TFS", "TFS", IF(G48&gt;=1.2, 0, IF(AND(G48&gt;=0.9, G48&lt;=1.19), 1, IF(AND(G48&gt;=0.5, G48&lt;=0.89), 2, IF(G48&lt;0.5, 3, ""))))))</f>
        <v>NA</v>
      </c>
      <c r="I48" s="55"/>
      <c r="J48" s="55"/>
      <c r="K48" s="43" t="str">
        <f>IF(J48="","NA", IF(I48&lt;15, "TFS", IF(J48&lt;35, 0, IF(AND(J48&gt;=35, J48&lt;50), 1, IF(AND(J48&gt;=50, J48&lt;=65), 2, 3)))))</f>
        <v>NA</v>
      </c>
      <c r="L48" s="23"/>
    </row>
    <row r="49" spans="1:13" x14ac:dyDescent="0.35">
      <c r="A49" s="16"/>
      <c r="B49" s="16" t="s">
        <v>45</v>
      </c>
      <c r="C49" s="53"/>
      <c r="D49" s="55"/>
      <c r="E49" s="53"/>
      <c r="F49" s="18">
        <v>0</v>
      </c>
      <c r="G49" s="18" t="str">
        <f t="shared" ref="G49:G51" si="3">IF(E49="","NA",(IF(D49="","NA",IF(D49&lt;15,"TFS",ROUND(F49-E49,2)))))</f>
        <v>NA</v>
      </c>
      <c r="H49" s="18" t="str">
        <f>IF(G49="NA","NA", IF(G49="TFS", "TFS", IF(G49&gt;=1.2, 0, IF(AND(G49&gt;=0.9, G49&lt;=1.19), 1, IF(AND(G49&gt;=0.5, G49&lt;=0.89), 2, IF(G49&lt;0.5, 3, ""))))))</f>
        <v>NA</v>
      </c>
      <c r="I49" s="55"/>
      <c r="J49" s="55"/>
      <c r="K49" s="43" t="str">
        <f>IF(J49="","NA", IF(I49&lt;15, "TFS", IF(J49&lt;35, 0, IF(AND(J49&gt;=35, J49&lt;50), 1, IF(AND(J49&gt;=50, J49&lt;=65), 2, 3)))))</f>
        <v>NA</v>
      </c>
      <c r="L49" s="23"/>
    </row>
    <row r="50" spans="1:13" x14ac:dyDescent="0.35">
      <c r="A50" s="16"/>
      <c r="B50" s="16" t="s">
        <v>46</v>
      </c>
      <c r="C50" s="53"/>
      <c r="D50" s="55"/>
      <c r="E50" s="53"/>
      <c r="F50" s="18">
        <v>0</v>
      </c>
      <c r="G50" s="18" t="str">
        <f t="shared" si="3"/>
        <v>NA</v>
      </c>
      <c r="H50" s="18" t="str">
        <f>IF(G50="NA","NA", IF(G50="TFS", "TFS", IF(G50&gt;=1.2, 0, IF(AND(G50&gt;=0.9, G50&lt;=1.19), 1, IF(AND(G50&gt;=0.5, G50&lt;=0.89), 2, IF(G50&lt;0.5, 3, ""))))))</f>
        <v>NA</v>
      </c>
      <c r="I50" s="55"/>
      <c r="J50" s="55"/>
      <c r="K50" s="43" t="str">
        <f>IF(J50="","NA", IF(I50&lt;15, "TFS", IF(J50&lt;35, 0, IF(AND(J50&gt;=35, J50&lt;50), 1, IF(AND(J50&gt;=50, J50&lt;=65), 2, 3)))))</f>
        <v>NA</v>
      </c>
      <c r="L50" s="23"/>
    </row>
    <row r="51" spans="1:13" x14ac:dyDescent="0.35">
      <c r="A51" s="16"/>
      <c r="B51" s="16" t="s">
        <v>47</v>
      </c>
      <c r="C51" s="53"/>
      <c r="D51" s="55"/>
      <c r="E51" s="53"/>
      <c r="F51" s="18">
        <v>0</v>
      </c>
      <c r="G51" s="18" t="str">
        <f t="shared" si="3"/>
        <v>NA</v>
      </c>
      <c r="H51" s="18" t="str">
        <f>IF(G51="NA","NA", IF(G51="TFS", "TFS", IF(G51&gt;=1.2, 0, IF(AND(G51&gt;=0.9, G51&lt;=1.19), 1, IF(AND(G51&gt;=0.5, G51&lt;=0.89), 2, IF(G51&lt;0.5, 3, ""))))))</f>
        <v>NA</v>
      </c>
      <c r="I51" s="55"/>
      <c r="J51" s="55"/>
      <c r="K51" s="43" t="str">
        <f>IF(J51="","NA", IF(I51&lt;15, "TFS", IF(J51&lt;35, 0, IF(AND(J51&gt;=35, J51&lt;50), 1, IF(AND(J51&gt;=50, J51&lt;=65), 2, 3)))))</f>
        <v>NA</v>
      </c>
      <c r="L51" s="23"/>
    </row>
    <row r="52" spans="1:13" x14ac:dyDescent="0.35">
      <c r="A52" s="25"/>
      <c r="B52" s="25"/>
      <c r="C52" s="25"/>
      <c r="D52" s="25"/>
      <c r="E52" s="25"/>
      <c r="F52" s="25"/>
      <c r="G52" s="25"/>
      <c r="H52" s="25"/>
      <c r="I52" s="25"/>
      <c r="J52" s="25"/>
      <c r="K52" s="44"/>
    </row>
    <row r="53" spans="1:13" ht="18.5" x14ac:dyDescent="0.35">
      <c r="A53" s="152" t="s">
        <v>10</v>
      </c>
      <c r="B53" s="152"/>
      <c r="C53" s="152"/>
      <c r="D53" s="152"/>
      <c r="E53" s="152"/>
      <c r="F53" s="152"/>
      <c r="G53" s="152"/>
      <c r="H53" s="152"/>
      <c r="I53" s="152"/>
      <c r="J53" s="152"/>
      <c r="K53" s="152"/>
      <c r="L53" s="152"/>
      <c r="M53" s="152"/>
    </row>
    <row r="54" spans="1:13" ht="15" thickBot="1" x14ac:dyDescent="0.4">
      <c r="A54" s="155" t="s">
        <v>109</v>
      </c>
      <c r="B54" s="156"/>
      <c r="C54" s="156"/>
      <c r="D54" s="156"/>
      <c r="E54" s="156"/>
      <c r="F54" s="157"/>
    </row>
    <row r="55" spans="1:13" ht="131" thickBot="1" x14ac:dyDescent="0.4">
      <c r="A55" s="27"/>
      <c r="B55" s="27"/>
      <c r="C55" s="15" t="s">
        <v>84</v>
      </c>
      <c r="D55" s="19" t="s">
        <v>140</v>
      </c>
      <c r="E55" s="23"/>
      <c r="H55" s="15" t="s">
        <v>64</v>
      </c>
      <c r="I55" s="15" t="s">
        <v>141</v>
      </c>
    </row>
    <row r="56" spans="1:13" x14ac:dyDescent="0.35">
      <c r="A56" s="16"/>
      <c r="B56" s="16" t="s">
        <v>79</v>
      </c>
      <c r="C56" s="53"/>
      <c r="D56" s="53"/>
      <c r="E56" s="23"/>
      <c r="H56" s="55"/>
      <c r="I56" s="55"/>
    </row>
    <row r="57" spans="1:13" x14ac:dyDescent="0.35">
      <c r="A57" s="16"/>
      <c r="B57" s="16" t="s">
        <v>45</v>
      </c>
      <c r="C57" s="53"/>
      <c r="D57" s="53"/>
      <c r="E57" s="23"/>
      <c r="H57" s="50"/>
      <c r="I57" s="50"/>
    </row>
    <row r="58" spans="1:13" x14ac:dyDescent="0.35">
      <c r="A58" s="16"/>
      <c r="B58" s="16" t="s">
        <v>46</v>
      </c>
      <c r="C58" s="53"/>
      <c r="D58" s="53"/>
      <c r="E58" s="23"/>
    </row>
    <row r="59" spans="1:13" x14ac:dyDescent="0.35">
      <c r="A59" s="16"/>
      <c r="B59" s="16" t="s">
        <v>47</v>
      </c>
      <c r="C59" s="53"/>
      <c r="D59" s="53"/>
      <c r="E59" s="23"/>
    </row>
    <row r="60" spans="1:13" x14ac:dyDescent="0.35">
      <c r="A60" s="16"/>
      <c r="B60" s="45" t="s">
        <v>48</v>
      </c>
      <c r="C60" s="18">
        <f>SUM(C56:C59)</f>
        <v>0</v>
      </c>
      <c r="D60" s="18">
        <f>SUM(D56:D59)</f>
        <v>0</v>
      </c>
      <c r="E60" s="23"/>
    </row>
    <row r="61" spans="1:13" x14ac:dyDescent="0.35">
      <c r="A61" s="25"/>
      <c r="B61" s="25"/>
      <c r="C61" s="25"/>
      <c r="D61" s="29"/>
    </row>
    <row r="62" spans="1:13" ht="18.5" x14ac:dyDescent="0.35">
      <c r="A62" s="152" t="s">
        <v>11</v>
      </c>
      <c r="B62" s="152"/>
      <c r="C62" s="152"/>
      <c r="D62" s="152"/>
      <c r="E62" s="152"/>
      <c r="F62" s="152"/>
      <c r="G62" s="152"/>
      <c r="H62" s="152"/>
      <c r="I62" s="152"/>
      <c r="J62" s="152"/>
      <c r="K62" s="152"/>
      <c r="L62" s="152"/>
      <c r="M62" s="152"/>
    </row>
    <row r="63" spans="1:13" ht="15" thickBot="1" x14ac:dyDescent="0.4">
      <c r="A63" s="146" t="s">
        <v>172</v>
      </c>
      <c r="B63" s="146"/>
      <c r="C63" s="146"/>
      <c r="D63" s="147"/>
      <c r="E63" s="146"/>
    </row>
    <row r="64" spans="1:13" ht="87.5" thickBot="1" x14ac:dyDescent="0.4">
      <c r="A64" s="27"/>
      <c r="B64" s="27"/>
      <c r="C64" s="33" t="s">
        <v>153</v>
      </c>
      <c r="D64" s="19" t="s">
        <v>173</v>
      </c>
      <c r="E64" s="34" t="s">
        <v>48</v>
      </c>
      <c r="F64" s="34" t="s">
        <v>150</v>
      </c>
      <c r="G64" s="34" t="s">
        <v>71</v>
      </c>
    </row>
    <row r="65" spans="1:7" x14ac:dyDescent="0.35">
      <c r="A65" s="16">
        <v>1</v>
      </c>
      <c r="B65" s="28" t="s">
        <v>171</v>
      </c>
      <c r="C65" s="53"/>
      <c r="D65" s="54"/>
      <c r="E65" s="18" t="str">
        <f>IF(C65="NA", "NA", IF(C65="", "NA", IF(C65="TFS", "NA", C65-D65)))</f>
        <v>NA</v>
      </c>
      <c r="F65" s="54"/>
      <c r="G65" s="18" t="str">
        <f>IF(E65="","NA",IF(E65=0,"NA",IF(E65&lt;15,"TFS",IF(F65="","NA",IF(F65&gt;E65,"NA",IF(ROUND((F65/E65)*100,3)&gt;=99.445,100,(ROUND((F65/E65)*100,3))))))))</f>
        <v>NA</v>
      </c>
    </row>
    <row r="67" spans="1:7" ht="15" thickBot="1" x14ac:dyDescent="0.4">
      <c r="A67" s="146" t="s">
        <v>175</v>
      </c>
      <c r="B67" s="146"/>
      <c r="C67" s="146"/>
      <c r="D67" s="147"/>
      <c r="E67" s="146"/>
    </row>
    <row r="68" spans="1:7" ht="44" thickBot="1" x14ac:dyDescent="0.4">
      <c r="A68" s="27"/>
      <c r="B68" s="27"/>
      <c r="C68" s="33" t="s">
        <v>153</v>
      </c>
      <c r="D68" s="19" t="s">
        <v>150</v>
      </c>
      <c r="E68" s="34" t="s">
        <v>71</v>
      </c>
    </row>
    <row r="69" spans="1:7" x14ac:dyDescent="0.35">
      <c r="A69" s="16">
        <v>2</v>
      </c>
      <c r="B69" s="28" t="s">
        <v>174</v>
      </c>
      <c r="C69" s="53"/>
      <c r="D69" s="54"/>
      <c r="E69" s="18" t="str">
        <f>IF(C69="","NA",IF(C69=0,"NA",IF(C69&lt;15,"TFS",IF(D69="","NA",IF(D69&gt;C69,"NA",ROUND((D69/C69)*100,3))))))</f>
        <v>NA</v>
      </c>
    </row>
    <row r="70" spans="1:7" x14ac:dyDescent="0.35">
      <c r="A70" s="30"/>
      <c r="B70" s="30"/>
      <c r="C70" s="30"/>
      <c r="D70" s="30"/>
    </row>
    <row r="71" spans="1:7" x14ac:dyDescent="0.35">
      <c r="A71" s="158" t="s">
        <v>159</v>
      </c>
      <c r="B71" s="158"/>
      <c r="C71" s="158"/>
      <c r="D71" s="158"/>
      <c r="E71" s="23"/>
    </row>
    <row r="72" spans="1:7" ht="29" x14ac:dyDescent="0.35">
      <c r="A72" s="27"/>
      <c r="B72" s="27"/>
      <c r="C72" s="15" t="s">
        <v>157</v>
      </c>
      <c r="D72" s="34" t="s">
        <v>71</v>
      </c>
    </row>
    <row r="73" spans="1:7" x14ac:dyDescent="0.35">
      <c r="A73" s="16">
        <v>3</v>
      </c>
      <c r="B73" s="28" t="s">
        <v>156</v>
      </c>
      <c r="C73" s="53"/>
      <c r="D73" s="18" t="str">
        <f>IF(C73="Y",C73,IF(C73="N","N","NA"))</f>
        <v>NA</v>
      </c>
    </row>
    <row r="75" spans="1:7" x14ac:dyDescent="0.35">
      <c r="A75" s="158" t="s">
        <v>159</v>
      </c>
      <c r="B75" s="158"/>
      <c r="C75" s="158"/>
      <c r="D75" s="158"/>
      <c r="E75" s="23"/>
    </row>
    <row r="76" spans="1:7" ht="29" x14ac:dyDescent="0.35">
      <c r="A76" s="27"/>
      <c r="B76" s="27"/>
      <c r="C76" s="15" t="s">
        <v>157</v>
      </c>
      <c r="D76" s="34" t="s">
        <v>71</v>
      </c>
    </row>
    <row r="77" spans="1:7" x14ac:dyDescent="0.35">
      <c r="A77" s="16">
        <v>5</v>
      </c>
      <c r="B77" s="28" t="s">
        <v>158</v>
      </c>
      <c r="C77" s="53"/>
      <c r="D77" s="18" t="str">
        <f>IF(C77="Y",C77,IF(C77="N","N","NA"))</f>
        <v>NA</v>
      </c>
    </row>
    <row r="78" spans="1:7" x14ac:dyDescent="0.35">
      <c r="A78" s="30"/>
      <c r="B78" s="30"/>
      <c r="C78" s="30"/>
      <c r="D78" s="30"/>
    </row>
    <row r="79" spans="1:7" x14ac:dyDescent="0.35">
      <c r="A79" s="158" t="s">
        <v>159</v>
      </c>
      <c r="B79" s="158"/>
      <c r="C79" s="158"/>
      <c r="D79" s="158"/>
      <c r="E79" s="23"/>
    </row>
    <row r="80" spans="1:7" ht="29" x14ac:dyDescent="0.35">
      <c r="A80" s="27"/>
      <c r="B80" s="27"/>
      <c r="C80" s="15" t="s">
        <v>157</v>
      </c>
      <c r="D80" s="34" t="s">
        <v>71</v>
      </c>
    </row>
    <row r="81" spans="1:5" x14ac:dyDescent="0.35">
      <c r="A81" s="16">
        <v>6</v>
      </c>
      <c r="B81" s="28" t="s">
        <v>160</v>
      </c>
      <c r="C81" s="53"/>
      <c r="D81" s="18" t="str">
        <f>IF(C81="Y",C81,IF(C81="N","N","NA"))</f>
        <v>NA</v>
      </c>
    </row>
    <row r="82" spans="1:5" x14ac:dyDescent="0.35">
      <c r="A82" s="30"/>
      <c r="B82" s="30"/>
      <c r="C82" s="30"/>
      <c r="D82" s="30"/>
    </row>
    <row r="83" spans="1:5" x14ac:dyDescent="0.35">
      <c r="A83" s="158" t="s">
        <v>159</v>
      </c>
      <c r="B83" s="158"/>
      <c r="C83" s="158"/>
      <c r="D83" s="158"/>
      <c r="E83" s="23"/>
    </row>
    <row r="84" spans="1:5" ht="29" x14ac:dyDescent="0.35">
      <c r="A84" s="27"/>
      <c r="B84" s="27"/>
      <c r="C84" s="15" t="s">
        <v>157</v>
      </c>
      <c r="D84" s="34" t="s">
        <v>71</v>
      </c>
    </row>
    <row r="85" spans="1:5" x14ac:dyDescent="0.35">
      <c r="A85" s="16">
        <v>7</v>
      </c>
      <c r="B85" s="28" t="s">
        <v>161</v>
      </c>
      <c r="C85" s="53"/>
      <c r="D85" s="18" t="str">
        <f>IF(C85="Y",C85,IF(C85="N","N","NA"))</f>
        <v>NA</v>
      </c>
    </row>
  </sheetData>
  <sheetProtection sheet="1" objects="1" scenarios="1" selectLockedCells="1"/>
  <mergeCells count="32">
    <mergeCell ref="A16:E16"/>
    <mergeCell ref="A1:M1"/>
    <mergeCell ref="A3:M3"/>
    <mergeCell ref="A4:L4"/>
    <mergeCell ref="A11:M11"/>
    <mergeCell ref="A12:E12"/>
    <mergeCell ref="A20:F20"/>
    <mergeCell ref="A28:E28"/>
    <mergeCell ref="A32:M32"/>
    <mergeCell ref="A33:M33"/>
    <mergeCell ref="C34:D34"/>
    <mergeCell ref="E34:F34"/>
    <mergeCell ref="G34:H34"/>
    <mergeCell ref="I34:J34"/>
    <mergeCell ref="A24:E24"/>
    <mergeCell ref="A83:D83"/>
    <mergeCell ref="A45:M45"/>
    <mergeCell ref="A46:K46"/>
    <mergeCell ref="A53:M53"/>
    <mergeCell ref="A54:F54"/>
    <mergeCell ref="A62:M62"/>
    <mergeCell ref="A63:E63"/>
    <mergeCell ref="A67:E67"/>
    <mergeCell ref="A71:D71"/>
    <mergeCell ref="A75:D75"/>
    <mergeCell ref="A79:D79"/>
    <mergeCell ref="A39:M39"/>
    <mergeCell ref="A40:J40"/>
    <mergeCell ref="C41:D41"/>
    <mergeCell ref="E41:F41"/>
    <mergeCell ref="G41:H41"/>
    <mergeCell ref="I41:J4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99"/>
  <sheetViews>
    <sheetView showRuler="0" view="pageLayout" zoomScaleNormal="100" workbookViewId="0">
      <selection activeCell="K55" sqref="K55:M55"/>
    </sheetView>
  </sheetViews>
  <sheetFormatPr defaultColWidth="9.1796875" defaultRowHeight="14.5" x14ac:dyDescent="0.35"/>
  <cols>
    <col min="1" max="1" width="11.1796875" style="14" customWidth="1"/>
    <col min="2" max="2" width="2.81640625" style="14" bestFit="1" customWidth="1"/>
    <col min="3" max="3" width="8.26953125" style="14" customWidth="1"/>
    <col min="4" max="13" width="11.1796875" style="14" customWidth="1"/>
    <col min="14" max="16384" width="9.1796875" style="14"/>
  </cols>
  <sheetData>
    <row r="1" spans="1:13" x14ac:dyDescent="0.35">
      <c r="A1" s="2"/>
      <c r="B1" s="2"/>
      <c r="C1" s="2"/>
      <c r="D1" s="2"/>
      <c r="E1" s="2"/>
      <c r="F1" s="2"/>
      <c r="G1" s="2"/>
      <c r="H1" s="2"/>
      <c r="I1" s="2"/>
      <c r="J1" s="2"/>
      <c r="K1" s="2"/>
      <c r="L1" s="2"/>
      <c r="M1" s="2"/>
    </row>
    <row r="2" spans="1:13" x14ac:dyDescent="0.35">
      <c r="A2" s="71" t="s">
        <v>0</v>
      </c>
      <c r="B2" s="97"/>
      <c r="C2" s="97"/>
      <c r="D2" s="97"/>
      <c r="E2" s="97"/>
      <c r="F2" s="97"/>
      <c r="G2" s="97"/>
      <c r="H2" s="97"/>
      <c r="I2" s="97"/>
      <c r="J2" s="97"/>
      <c r="K2" s="97"/>
      <c r="L2" s="97"/>
      <c r="M2" s="97"/>
    </row>
    <row r="3" spans="1:13" x14ac:dyDescent="0.35">
      <c r="A3" s="71" t="s">
        <v>1</v>
      </c>
      <c r="B3" s="97"/>
      <c r="C3" s="97"/>
      <c r="D3" s="97"/>
      <c r="E3" s="97"/>
      <c r="F3" s="97"/>
      <c r="G3" s="97"/>
      <c r="H3" s="97"/>
      <c r="I3" s="97"/>
      <c r="J3" s="97"/>
      <c r="K3" s="97"/>
      <c r="L3" s="97"/>
      <c r="M3" s="97"/>
    </row>
    <row r="4" spans="1:13" x14ac:dyDescent="0.35">
      <c r="A4" s="4"/>
      <c r="B4" s="4"/>
      <c r="C4" s="4"/>
      <c r="D4" s="4"/>
      <c r="E4" s="4"/>
      <c r="F4" s="4"/>
      <c r="G4" s="4"/>
      <c r="H4" s="4"/>
      <c r="I4" s="4"/>
      <c r="J4" s="4"/>
      <c r="K4" s="4"/>
      <c r="L4" s="4"/>
      <c r="M4" s="4"/>
    </row>
    <row r="5" spans="1:13" ht="18.5" x14ac:dyDescent="0.35">
      <c r="A5" s="95" t="s">
        <v>2</v>
      </c>
      <c r="B5" s="95"/>
      <c r="C5" s="95"/>
      <c r="D5" s="95"/>
      <c r="E5" s="95"/>
      <c r="F5" s="95"/>
      <c r="G5" s="95"/>
      <c r="H5" s="95"/>
      <c r="I5" s="95"/>
      <c r="J5" s="95"/>
      <c r="K5" s="95"/>
      <c r="L5" s="95"/>
      <c r="M5" s="95"/>
    </row>
    <row r="6" spans="1:13" x14ac:dyDescent="0.35">
      <c r="A6" s="100" t="str">
        <f>IF(A10="NA", "NA", IF(AND(A10="NA",D10="NA",F10="NA"),"NA",IF(AND(D10="NA",F10="NA"),ROUND(SUM(((A10)/50)*100)+H11,1),IF(D10="NA",ROUND(SUM(((A10+F10)/60)*100)+H11,1),IF(F10="NA",ROUND(SUM(((A10+D10)/90)*100)+H11,1),A10+D10+F10+H11)))))</f>
        <v>NA</v>
      </c>
      <c r="B6" s="101"/>
      <c r="C6" s="101"/>
      <c r="D6" s="101"/>
      <c r="E6" s="101"/>
      <c r="F6" s="101"/>
      <c r="G6" s="101"/>
      <c r="H6" s="101"/>
      <c r="I6" s="101"/>
      <c r="J6" s="101"/>
      <c r="K6" s="101"/>
      <c r="L6" s="101"/>
      <c r="M6" s="101"/>
    </row>
    <row r="7" spans="1:13" x14ac:dyDescent="0.35">
      <c r="A7" s="102" t="s">
        <v>3</v>
      </c>
      <c r="B7" s="102"/>
      <c r="C7" s="102"/>
      <c r="D7" s="102"/>
      <c r="E7" s="102"/>
      <c r="F7" s="102"/>
      <c r="G7" s="102"/>
      <c r="H7" s="102"/>
      <c r="I7" s="102"/>
      <c r="J7" s="102"/>
      <c r="K7" s="102"/>
      <c r="L7" s="102"/>
      <c r="M7" s="102"/>
    </row>
    <row r="8" spans="1:13" ht="15.5" x14ac:dyDescent="0.35">
      <c r="A8" s="98" t="s">
        <v>4</v>
      </c>
      <c r="B8" s="98"/>
      <c r="C8" s="98"/>
      <c r="D8" s="98" t="s">
        <v>5</v>
      </c>
      <c r="E8" s="98"/>
      <c r="F8" s="98" t="s">
        <v>6</v>
      </c>
      <c r="G8" s="98"/>
      <c r="H8" s="98" t="s">
        <v>7</v>
      </c>
      <c r="I8" s="98"/>
      <c r="J8" s="98" t="s">
        <v>8</v>
      </c>
      <c r="K8" s="98"/>
      <c r="L8" s="98" t="s">
        <v>9</v>
      </c>
      <c r="M8" s="98"/>
    </row>
    <row r="9" spans="1:13" ht="26" x14ac:dyDescent="0.35">
      <c r="A9" s="98"/>
      <c r="B9" s="98"/>
      <c r="C9" s="98"/>
      <c r="D9" s="98"/>
      <c r="E9" s="98"/>
      <c r="F9" s="98"/>
      <c r="G9" s="98"/>
      <c r="H9" s="5" t="s">
        <v>10</v>
      </c>
      <c r="I9" s="5" t="s">
        <v>11</v>
      </c>
      <c r="J9" s="98"/>
      <c r="K9" s="98"/>
      <c r="L9" s="98"/>
      <c r="M9" s="98"/>
    </row>
    <row r="10" spans="1:13" x14ac:dyDescent="0.35">
      <c r="A10" s="94" t="str">
        <f>L51</f>
        <v>NA</v>
      </c>
      <c r="B10" s="94"/>
      <c r="C10" s="94"/>
      <c r="D10" s="93" t="str">
        <f>H64</f>
        <v>NA</v>
      </c>
      <c r="E10" s="94"/>
      <c r="F10" s="94" t="str">
        <f>F75</f>
        <v>NA</v>
      </c>
      <c r="G10" s="94"/>
      <c r="H10" s="70" t="str">
        <f>H82</f>
        <v>NA</v>
      </c>
      <c r="I10" s="70">
        <f>M96</f>
        <v>0</v>
      </c>
      <c r="J10" s="99"/>
      <c r="K10" s="99"/>
      <c r="L10" s="99"/>
      <c r="M10" s="99"/>
    </row>
    <row r="11" spans="1:13" x14ac:dyDescent="0.35">
      <c r="A11" s="94"/>
      <c r="B11" s="94"/>
      <c r="C11" s="94"/>
      <c r="D11" s="94"/>
      <c r="E11" s="94"/>
      <c r="F11" s="94"/>
      <c r="G11" s="94"/>
      <c r="H11" s="94">
        <f>IF(H10="NA", I10, IF(H10+I10&lt;10, H10+I10, 10))</f>
        <v>0</v>
      </c>
      <c r="I11" s="94"/>
      <c r="J11" s="99"/>
      <c r="K11" s="99"/>
      <c r="L11" s="99"/>
      <c r="M11" s="99"/>
    </row>
    <row r="12" spans="1:13" x14ac:dyDescent="0.35">
      <c r="A12" s="4"/>
      <c r="B12" s="96"/>
      <c r="C12" s="96"/>
      <c r="D12" s="4"/>
      <c r="E12" s="4"/>
      <c r="F12" s="4"/>
      <c r="G12" s="4"/>
      <c r="H12" s="4"/>
      <c r="I12" s="4"/>
      <c r="J12" s="4"/>
      <c r="K12" s="4"/>
      <c r="L12" s="4"/>
      <c r="M12" s="4"/>
    </row>
    <row r="13" spans="1:13" ht="18.5" x14ac:dyDescent="0.35">
      <c r="A13" s="95" t="s">
        <v>4</v>
      </c>
      <c r="B13" s="95"/>
      <c r="C13" s="95"/>
      <c r="D13" s="95"/>
      <c r="E13" s="95"/>
      <c r="F13" s="95"/>
      <c r="G13" s="95"/>
      <c r="H13" s="95"/>
      <c r="I13" s="95"/>
      <c r="J13" s="95"/>
      <c r="K13" s="95"/>
      <c r="L13" s="95"/>
      <c r="M13" s="95"/>
    </row>
    <row r="14" spans="1:13" ht="52" x14ac:dyDescent="0.35">
      <c r="A14" s="6"/>
      <c r="B14" s="135" t="s">
        <v>12</v>
      </c>
      <c r="C14" s="135"/>
      <c r="D14" s="135"/>
      <c r="E14" s="135"/>
      <c r="F14" s="135"/>
      <c r="G14" s="135"/>
      <c r="H14" s="7" t="s">
        <v>13</v>
      </c>
      <c r="I14" s="7" t="s">
        <v>14</v>
      </c>
      <c r="J14" s="7" t="s">
        <v>15</v>
      </c>
      <c r="K14" s="7" t="s">
        <v>16</v>
      </c>
      <c r="L14" s="7" t="s">
        <v>17</v>
      </c>
      <c r="M14" s="7" t="s">
        <v>18</v>
      </c>
    </row>
    <row r="15" spans="1:13" ht="45.25" customHeight="1" x14ac:dyDescent="0.35">
      <c r="A15" s="103" t="s">
        <v>19</v>
      </c>
      <c r="B15" s="8">
        <v>1</v>
      </c>
      <c r="C15" s="110" t="s">
        <v>176</v>
      </c>
      <c r="D15" s="110"/>
      <c r="E15" s="110"/>
      <c r="F15" s="110"/>
      <c r="G15" s="110"/>
      <c r="H15" s="51" t="str">
        <f>'HS - Detail'!E6</f>
        <v>NA</v>
      </c>
      <c r="I15" s="70">
        <v>100</v>
      </c>
      <c r="J15" s="52" t="str">
        <f>'HS - Detail'!L6</f>
        <v>NA</v>
      </c>
      <c r="K15" s="70" t="s">
        <v>20</v>
      </c>
      <c r="L15" s="70" t="str">
        <f>IF(M15="NA", "NA", 10)</f>
        <v>NA</v>
      </c>
      <c r="M15" s="9" t="str">
        <f t="shared" ref="M15:M22" si="0">IF(J15="NA", "NA", IF(J15="TFS", "NA", IF(J15="", "NA", ROUND(J15/10,3))))</f>
        <v>NA</v>
      </c>
    </row>
    <row r="16" spans="1:13" ht="45.25" customHeight="1" x14ac:dyDescent="0.35">
      <c r="A16" s="103"/>
      <c r="B16" s="8">
        <v>2</v>
      </c>
      <c r="C16" s="110" t="s">
        <v>177</v>
      </c>
      <c r="D16" s="110"/>
      <c r="E16" s="110"/>
      <c r="F16" s="110"/>
      <c r="G16" s="110"/>
      <c r="H16" s="51" t="str">
        <f>'HS - Detail'!E7</f>
        <v>NA</v>
      </c>
      <c r="I16" s="70">
        <v>100</v>
      </c>
      <c r="J16" s="52" t="str">
        <f>'HS - Detail'!L7</f>
        <v>NA</v>
      </c>
      <c r="K16" s="70" t="s">
        <v>20</v>
      </c>
      <c r="L16" s="70" t="str">
        <f t="shared" ref="L16:L22" si="1">IF(M16="NA", "NA", 10)</f>
        <v>NA</v>
      </c>
      <c r="M16" s="9" t="str">
        <f t="shared" si="0"/>
        <v>NA</v>
      </c>
    </row>
    <row r="17" spans="1:13" ht="45.25" customHeight="1" x14ac:dyDescent="0.35">
      <c r="A17" s="103"/>
      <c r="B17" s="8">
        <v>3</v>
      </c>
      <c r="C17" s="110" t="s">
        <v>178</v>
      </c>
      <c r="D17" s="110"/>
      <c r="E17" s="110"/>
      <c r="F17" s="110"/>
      <c r="G17" s="110"/>
      <c r="H17" s="51" t="str">
        <f>'HS - Detail'!E8</f>
        <v>NA</v>
      </c>
      <c r="I17" s="70">
        <v>100</v>
      </c>
      <c r="J17" s="52" t="str">
        <f>'HS - Detail'!L8</f>
        <v>NA</v>
      </c>
      <c r="K17" s="70" t="s">
        <v>20</v>
      </c>
      <c r="L17" s="70" t="str">
        <f t="shared" ref="L17:L20" si="2">IF(M17="NA", "NA", 10)</f>
        <v>NA</v>
      </c>
      <c r="M17" s="9" t="str">
        <f t="shared" si="0"/>
        <v>NA</v>
      </c>
    </row>
    <row r="18" spans="1:13" ht="45.25" customHeight="1" x14ac:dyDescent="0.35">
      <c r="A18" s="103"/>
      <c r="B18" s="8">
        <v>4</v>
      </c>
      <c r="C18" s="110" t="s">
        <v>179</v>
      </c>
      <c r="D18" s="110"/>
      <c r="E18" s="110"/>
      <c r="F18" s="110"/>
      <c r="G18" s="110"/>
      <c r="H18" s="51" t="str">
        <f>'HS - Detail'!E9</f>
        <v>NA</v>
      </c>
      <c r="I18" s="70">
        <v>100</v>
      </c>
      <c r="J18" s="52" t="str">
        <f>'HS - Detail'!L9</f>
        <v>NA</v>
      </c>
      <c r="K18" s="70" t="s">
        <v>20</v>
      </c>
      <c r="L18" s="70" t="str">
        <f t="shared" si="2"/>
        <v>NA</v>
      </c>
      <c r="M18" s="9" t="str">
        <f t="shared" si="0"/>
        <v>NA</v>
      </c>
    </row>
    <row r="19" spans="1:13" ht="45.25" customHeight="1" x14ac:dyDescent="0.35">
      <c r="A19" s="103"/>
      <c r="B19" s="8">
        <v>5</v>
      </c>
      <c r="C19" s="110" t="s">
        <v>180</v>
      </c>
      <c r="D19" s="110"/>
      <c r="E19" s="110"/>
      <c r="F19" s="110"/>
      <c r="G19" s="110"/>
      <c r="H19" s="51" t="str">
        <f>'HS - Detail'!E10</f>
        <v>NA</v>
      </c>
      <c r="I19" s="70">
        <v>100</v>
      </c>
      <c r="J19" s="52" t="str">
        <f>'HS - Detail'!L10</f>
        <v>NA</v>
      </c>
      <c r="K19" s="70" t="s">
        <v>20</v>
      </c>
      <c r="L19" s="70" t="str">
        <f t="shared" si="2"/>
        <v>NA</v>
      </c>
      <c r="M19" s="9" t="str">
        <f t="shared" si="0"/>
        <v>NA</v>
      </c>
    </row>
    <row r="20" spans="1:13" ht="45.25" customHeight="1" x14ac:dyDescent="0.35">
      <c r="A20" s="103"/>
      <c r="B20" s="8">
        <v>6</v>
      </c>
      <c r="C20" s="110" t="s">
        <v>181</v>
      </c>
      <c r="D20" s="110"/>
      <c r="E20" s="110"/>
      <c r="F20" s="110"/>
      <c r="G20" s="110"/>
      <c r="H20" s="51" t="str">
        <f>'HS - Detail'!E11</f>
        <v>NA</v>
      </c>
      <c r="I20" s="70">
        <v>100</v>
      </c>
      <c r="J20" s="52" t="str">
        <f>'HS - Detail'!L11</f>
        <v>NA</v>
      </c>
      <c r="K20" s="70" t="s">
        <v>20</v>
      </c>
      <c r="L20" s="70" t="str">
        <f t="shared" si="2"/>
        <v>NA</v>
      </c>
      <c r="M20" s="9" t="str">
        <f t="shared" si="0"/>
        <v>NA</v>
      </c>
    </row>
    <row r="21" spans="1:13" ht="45.25" customHeight="1" x14ac:dyDescent="0.35">
      <c r="A21" s="103"/>
      <c r="B21" s="8">
        <v>7</v>
      </c>
      <c r="C21" s="110" t="s">
        <v>182</v>
      </c>
      <c r="D21" s="110"/>
      <c r="E21" s="110"/>
      <c r="F21" s="110"/>
      <c r="G21" s="110"/>
      <c r="H21" s="51" t="str">
        <f>'HS - Detail'!E12</f>
        <v>NA</v>
      </c>
      <c r="I21" s="70">
        <v>100</v>
      </c>
      <c r="J21" s="52" t="str">
        <f>'HS - Detail'!L12</f>
        <v>NA</v>
      </c>
      <c r="K21" s="70" t="s">
        <v>20</v>
      </c>
      <c r="L21" s="70" t="str">
        <f t="shared" si="1"/>
        <v>NA</v>
      </c>
      <c r="M21" s="9" t="str">
        <f t="shared" si="0"/>
        <v>NA</v>
      </c>
    </row>
    <row r="22" spans="1:13" ht="45.25" customHeight="1" x14ac:dyDescent="0.35">
      <c r="A22" s="103"/>
      <c r="B22" s="8">
        <v>8</v>
      </c>
      <c r="C22" s="110" t="s">
        <v>183</v>
      </c>
      <c r="D22" s="110"/>
      <c r="E22" s="110"/>
      <c r="F22" s="110"/>
      <c r="G22" s="110"/>
      <c r="H22" s="51" t="str">
        <f>'HS - Detail'!E13</f>
        <v>NA</v>
      </c>
      <c r="I22" s="70">
        <v>100</v>
      </c>
      <c r="J22" s="52" t="str">
        <f>'HS - Detail'!L13</f>
        <v>NA</v>
      </c>
      <c r="K22" s="70" t="s">
        <v>20</v>
      </c>
      <c r="L22" s="70" t="str">
        <f t="shared" si="1"/>
        <v>NA</v>
      </c>
      <c r="M22" s="9" t="str">
        <f t="shared" si="0"/>
        <v>NA</v>
      </c>
    </row>
    <row r="23" spans="1:13" x14ac:dyDescent="0.35">
      <c r="A23" s="103"/>
      <c r="B23" s="104"/>
      <c r="C23" s="104"/>
      <c r="D23" s="104"/>
      <c r="E23" s="104"/>
      <c r="F23" s="104"/>
      <c r="G23" s="104"/>
      <c r="H23" s="104"/>
      <c r="I23" s="105" t="s">
        <v>21</v>
      </c>
      <c r="J23" s="105"/>
      <c r="K23" s="105"/>
      <c r="L23" s="69" t="str">
        <f>IF(AND(L15="NA", L16="NA", L21="NA", L22="NA"), "NA", SUM(L15:L22))</f>
        <v>NA</v>
      </c>
      <c r="M23" s="69" t="str">
        <f>IF(AND(M15="NA", M16="NA", M21="NA", M22="NA"), "NA", SUM(M15:M22))</f>
        <v>NA</v>
      </c>
    </row>
    <row r="24" spans="1:13" x14ac:dyDescent="0.35">
      <c r="A24" s="103"/>
      <c r="B24" s="104"/>
      <c r="C24" s="104"/>
      <c r="D24" s="104"/>
      <c r="E24" s="104"/>
      <c r="F24" s="104"/>
      <c r="G24" s="104"/>
      <c r="H24" s="104"/>
      <c r="I24" s="105" t="s">
        <v>22</v>
      </c>
      <c r="J24" s="105"/>
      <c r="K24" s="105"/>
      <c r="L24" s="106" t="str">
        <f>IF(L23="NA","NA",ROUND(M23/L23,3))</f>
        <v>NA</v>
      </c>
      <c r="M24" s="106"/>
    </row>
    <row r="25" spans="1:13" x14ac:dyDescent="0.35">
      <c r="A25" s="103"/>
      <c r="B25" s="104"/>
      <c r="C25" s="104"/>
      <c r="D25" s="104"/>
      <c r="E25" s="104"/>
      <c r="F25" s="104"/>
      <c r="G25" s="104"/>
      <c r="H25" s="104"/>
      <c r="I25" s="105" t="s">
        <v>23</v>
      </c>
      <c r="J25" s="105"/>
      <c r="K25" s="105"/>
      <c r="L25" s="107">
        <v>0.4</v>
      </c>
      <c r="M25" s="108"/>
    </row>
    <row r="26" spans="1:13" x14ac:dyDescent="0.35">
      <c r="A26" s="103"/>
      <c r="B26" s="104"/>
      <c r="C26" s="104"/>
      <c r="D26" s="104"/>
      <c r="E26" s="104"/>
      <c r="F26" s="104"/>
      <c r="G26" s="104"/>
      <c r="H26" s="104"/>
      <c r="I26" s="105" t="s">
        <v>24</v>
      </c>
      <c r="J26" s="105"/>
      <c r="K26" s="105"/>
      <c r="L26" s="109" t="str">
        <f>IF(L24="NA","NA",ROUND(L24*L25,4))</f>
        <v>NA</v>
      </c>
      <c r="M26" s="109"/>
    </row>
    <row r="27" spans="1:13" ht="52" x14ac:dyDescent="0.35">
      <c r="A27" s="10"/>
      <c r="B27" s="135" t="s">
        <v>12</v>
      </c>
      <c r="C27" s="135"/>
      <c r="D27" s="135"/>
      <c r="E27" s="135"/>
      <c r="F27" s="135"/>
      <c r="G27" s="135"/>
      <c r="H27" s="7" t="s">
        <v>13</v>
      </c>
      <c r="I27" s="7" t="s">
        <v>14</v>
      </c>
      <c r="J27" s="7" t="s">
        <v>15</v>
      </c>
      <c r="K27" s="7" t="s">
        <v>16</v>
      </c>
      <c r="L27" s="7" t="s">
        <v>17</v>
      </c>
      <c r="M27" s="7" t="s">
        <v>18</v>
      </c>
    </row>
    <row r="28" spans="1:13" ht="60" customHeight="1" x14ac:dyDescent="0.35">
      <c r="A28" s="103" t="s">
        <v>192</v>
      </c>
      <c r="B28" s="8">
        <v>9</v>
      </c>
      <c r="C28" s="110" t="s">
        <v>194</v>
      </c>
      <c r="D28" s="110"/>
      <c r="E28" s="110"/>
      <c r="F28" s="110"/>
      <c r="G28" s="110"/>
      <c r="H28" s="70" t="s">
        <v>20</v>
      </c>
      <c r="I28" s="70">
        <v>100</v>
      </c>
      <c r="J28" s="52" t="str">
        <f>'HS - Detail'!G18</f>
        <v>NA</v>
      </c>
      <c r="K28" s="75" t="s">
        <v>20</v>
      </c>
      <c r="L28" s="75" t="str">
        <f t="shared" ref="L28" si="3">IF(M28="NA", "NA", 10)</f>
        <v>NA</v>
      </c>
      <c r="M28" s="9" t="str">
        <f>IF(J28="NA", "NA", IF(J28="TFS", "NA", IF(J28="", "NA", ROUND(J28/10,3))))</f>
        <v>NA</v>
      </c>
    </row>
    <row r="29" spans="1:13" ht="30.25" customHeight="1" x14ac:dyDescent="0.35">
      <c r="A29" s="103"/>
      <c r="B29" s="8">
        <v>10</v>
      </c>
      <c r="C29" s="110" t="s">
        <v>206</v>
      </c>
      <c r="D29" s="110"/>
      <c r="E29" s="110"/>
      <c r="F29" s="110"/>
      <c r="G29" s="110"/>
      <c r="H29" s="70" t="s">
        <v>20</v>
      </c>
      <c r="I29" s="70">
        <v>75.400000000000006</v>
      </c>
      <c r="J29" s="52" t="str">
        <f>'HS - Detail'!E22:E22</f>
        <v>NA</v>
      </c>
      <c r="K29" s="70" t="str">
        <f>IF(J29="TFS", "NA", IF(J29="", "NA", IF(J29="NA","NA",ROUND(IF(J29&lt;I29, (J29/I29)*100, 100), 3))))</f>
        <v>NA</v>
      </c>
      <c r="L29" s="70" t="str">
        <f t="shared" ref="L29" si="4">IF(M29="NA", "NA", 10)</f>
        <v>NA</v>
      </c>
      <c r="M29" s="9" t="str">
        <f>IF(K29="NA", "NA", IF(K29="TFS", "NA", IF(K29="", "NA", ROUND(K29/10,3))))</f>
        <v>NA</v>
      </c>
    </row>
    <row r="30" spans="1:13" ht="90" customHeight="1" x14ac:dyDescent="0.35">
      <c r="A30" s="103"/>
      <c r="B30" s="8">
        <v>11</v>
      </c>
      <c r="C30" s="110" t="s">
        <v>196</v>
      </c>
      <c r="D30" s="110"/>
      <c r="E30" s="110"/>
      <c r="F30" s="110"/>
      <c r="G30" s="110"/>
      <c r="H30" s="70" t="s">
        <v>20</v>
      </c>
      <c r="I30" s="70">
        <v>84.2</v>
      </c>
      <c r="J30" s="52" t="str">
        <f>'HS - Detail'!E26</f>
        <v>NA</v>
      </c>
      <c r="K30" s="75" t="str">
        <f>IF(J30="TFS", "NA", IF(J30="", "NA", IF(J30="NA","NA",ROUND(IF(J30&lt;I30, (J30/I30)*100, 100), 3))))</f>
        <v>NA</v>
      </c>
      <c r="L30" s="75" t="str">
        <f t="shared" ref="L30:L31" si="5">IF(M30="NA", "NA", 10)</f>
        <v>NA</v>
      </c>
      <c r="M30" s="9" t="str">
        <f>IF(K30="NA", "NA", IF(K30="TFS", "NA", IF(K30="", "NA", ROUND(K30/10,3))))</f>
        <v>NA</v>
      </c>
    </row>
    <row r="31" spans="1:13" ht="60.75" customHeight="1" x14ac:dyDescent="0.35">
      <c r="A31" s="103"/>
      <c r="B31" s="8">
        <v>12</v>
      </c>
      <c r="C31" s="110" t="s">
        <v>197</v>
      </c>
      <c r="D31" s="110"/>
      <c r="E31" s="110"/>
      <c r="F31" s="110"/>
      <c r="G31" s="110"/>
      <c r="H31" s="70" t="s">
        <v>20</v>
      </c>
      <c r="I31" s="70">
        <v>75.400000000000006</v>
      </c>
      <c r="J31" s="52" t="str">
        <f>'HS - Detail'!E30</f>
        <v>NA</v>
      </c>
      <c r="K31" s="75" t="str">
        <f>IF(J31="TFS", "NA", IF(J31="", "NA", IF(J31="NA","NA",ROUND(IF(J31&lt;I31, (J31/I31)*100, 100), 3))))</f>
        <v>NA</v>
      </c>
      <c r="L31" s="75" t="str">
        <f t="shared" si="5"/>
        <v>NA</v>
      </c>
      <c r="M31" s="9" t="str">
        <f>IF(K31="NA", "NA", IF(K31="TFS", "NA", IF(K31="", "NA", ROUND(K31/10,3))))</f>
        <v>NA</v>
      </c>
    </row>
    <row r="32" spans="1:13" ht="45.25" customHeight="1" x14ac:dyDescent="0.35">
      <c r="A32" s="103"/>
      <c r="B32" s="8">
        <v>13</v>
      </c>
      <c r="C32" s="110" t="s">
        <v>198</v>
      </c>
      <c r="D32" s="110"/>
      <c r="E32" s="110"/>
      <c r="F32" s="110"/>
      <c r="G32" s="110"/>
      <c r="H32" s="70" t="s">
        <v>20</v>
      </c>
      <c r="I32" s="70">
        <v>100</v>
      </c>
      <c r="J32" s="52" t="str">
        <f>'HS - Detail'!E34</f>
        <v>NA</v>
      </c>
      <c r="K32" s="70" t="s">
        <v>20</v>
      </c>
      <c r="L32" s="70" t="str">
        <f t="shared" ref="L32" si="6">IF(M32="NA", "NA", 10)</f>
        <v>NA</v>
      </c>
      <c r="M32" s="9" t="str">
        <f>IF(J32="NA", "NA", IF(J32="TFS", "NA", IF(J32="", "NA", ROUND(J32/10,3))))</f>
        <v>NA</v>
      </c>
    </row>
    <row r="33" spans="1:13" ht="30" customHeight="1" x14ac:dyDescent="0.35">
      <c r="A33" s="103"/>
      <c r="B33" s="8">
        <v>14</v>
      </c>
      <c r="C33" s="110" t="s">
        <v>199</v>
      </c>
      <c r="D33" s="110"/>
      <c r="E33" s="110"/>
      <c r="F33" s="110"/>
      <c r="G33" s="110"/>
      <c r="H33" s="72" t="s">
        <v>20</v>
      </c>
      <c r="I33" s="70">
        <v>100</v>
      </c>
      <c r="J33" s="52" t="str">
        <f>'HS - Detail'!M42</f>
        <v>NA</v>
      </c>
      <c r="K33" s="75" t="s">
        <v>20</v>
      </c>
      <c r="L33" s="75" t="str">
        <f t="shared" ref="L33:L34" si="7">IF(M33="NA", "NA", 10)</f>
        <v>NA</v>
      </c>
      <c r="M33" s="9" t="str">
        <f>IF(J33="NA", "NA", IF(J33="TFS", "NA", IF(J33="", "NA", ROUND(J33/10,3))))</f>
        <v>NA</v>
      </c>
    </row>
    <row r="34" spans="1:13" x14ac:dyDescent="0.35">
      <c r="A34" s="103"/>
      <c r="B34" s="8">
        <v>15</v>
      </c>
      <c r="C34" s="110" t="s">
        <v>35</v>
      </c>
      <c r="D34" s="110"/>
      <c r="E34" s="110"/>
      <c r="F34" s="110"/>
      <c r="G34" s="110"/>
      <c r="H34" s="70" t="s">
        <v>20</v>
      </c>
      <c r="I34" s="70">
        <v>82.2</v>
      </c>
      <c r="J34" s="52" t="str">
        <f>'HS - Detail'!E46</f>
        <v>NA</v>
      </c>
      <c r="K34" s="75" t="str">
        <f>IF(J34="TFS", "NA", IF(J34="", "NA", IF(J34="NA","NA",ROUND(IF(J34&lt;I34, (J34/I34)*100, 100), 3))))</f>
        <v>NA</v>
      </c>
      <c r="L34" s="75" t="str">
        <f t="shared" si="7"/>
        <v>NA</v>
      </c>
      <c r="M34" s="9" t="str">
        <f>IF(K34="NA", "NA", IF(K34="TFS", "NA", IF(K34="", "NA", ROUND(K34/10,3))))</f>
        <v>NA</v>
      </c>
    </row>
    <row r="35" spans="1:13" x14ac:dyDescent="0.35">
      <c r="A35" s="103"/>
      <c r="B35" s="104"/>
      <c r="C35" s="104"/>
      <c r="D35" s="104"/>
      <c r="E35" s="104"/>
      <c r="F35" s="104"/>
      <c r="G35" s="104"/>
      <c r="H35" s="104"/>
      <c r="I35" s="105" t="s">
        <v>21</v>
      </c>
      <c r="J35" s="105"/>
      <c r="K35" s="105"/>
      <c r="L35" s="69" t="str">
        <f>IF(AND(L28="NA", L29="NA", L30="NA", L33="NA", L34="NA"), "NA", SUM(L28:L34))</f>
        <v>NA</v>
      </c>
      <c r="M35" s="69" t="str">
        <f>IF(AND(M28="NA", M29="NA", M30="NA", M33="NA", M34="NA"), "NA", SUM(M28:M34))</f>
        <v>NA</v>
      </c>
    </row>
    <row r="36" spans="1:13" x14ac:dyDescent="0.35">
      <c r="A36" s="103"/>
      <c r="B36" s="104"/>
      <c r="C36" s="104"/>
      <c r="D36" s="104"/>
      <c r="E36" s="104"/>
      <c r="F36" s="104"/>
      <c r="G36" s="104"/>
      <c r="H36" s="104"/>
      <c r="I36" s="105" t="s">
        <v>22</v>
      </c>
      <c r="J36" s="105"/>
      <c r="K36" s="105"/>
      <c r="L36" s="106" t="str">
        <f>IF(L35="NA","NA",ROUND(M35/L35,3))</f>
        <v>NA</v>
      </c>
      <c r="M36" s="106"/>
    </row>
    <row r="37" spans="1:13" x14ac:dyDescent="0.35">
      <c r="A37" s="103"/>
      <c r="B37" s="104"/>
      <c r="C37" s="104"/>
      <c r="D37" s="104"/>
      <c r="E37" s="104"/>
      <c r="F37" s="104"/>
      <c r="G37" s="104"/>
      <c r="H37" s="104"/>
      <c r="I37" s="105" t="s">
        <v>23</v>
      </c>
      <c r="J37" s="105"/>
      <c r="K37" s="105"/>
      <c r="L37" s="107">
        <v>0.3</v>
      </c>
      <c r="M37" s="108"/>
    </row>
    <row r="38" spans="1:13" x14ac:dyDescent="0.35">
      <c r="A38" s="103"/>
      <c r="B38" s="104"/>
      <c r="C38" s="104"/>
      <c r="D38" s="104"/>
      <c r="E38" s="104"/>
      <c r="F38" s="104"/>
      <c r="G38" s="104"/>
      <c r="H38" s="104"/>
      <c r="I38" s="105" t="s">
        <v>24</v>
      </c>
      <c r="J38" s="105"/>
      <c r="K38" s="105"/>
      <c r="L38" s="109" t="str">
        <f>IF(L36="NA","NA",ROUND(L36*L37,4))</f>
        <v>NA</v>
      </c>
      <c r="M38" s="109"/>
    </row>
    <row r="39" spans="1:13" ht="52" x14ac:dyDescent="0.35">
      <c r="A39" s="10"/>
      <c r="B39" s="135" t="s">
        <v>12</v>
      </c>
      <c r="C39" s="135"/>
      <c r="D39" s="135"/>
      <c r="E39" s="135"/>
      <c r="F39" s="135"/>
      <c r="G39" s="135"/>
      <c r="H39" s="7" t="s">
        <v>13</v>
      </c>
      <c r="I39" s="7" t="s">
        <v>14</v>
      </c>
      <c r="J39" s="7" t="s">
        <v>15</v>
      </c>
      <c r="K39" s="7" t="s">
        <v>16</v>
      </c>
      <c r="L39" s="7" t="s">
        <v>17</v>
      </c>
      <c r="M39" s="7" t="s">
        <v>18</v>
      </c>
    </row>
    <row r="40" spans="1:13" x14ac:dyDescent="0.35">
      <c r="A40" s="10"/>
      <c r="B40" s="8">
        <v>16</v>
      </c>
      <c r="C40" s="110" t="s">
        <v>220</v>
      </c>
      <c r="D40" s="110"/>
      <c r="E40" s="110"/>
      <c r="F40" s="110"/>
      <c r="G40" s="110"/>
      <c r="H40" s="76" t="s">
        <v>20</v>
      </c>
      <c r="I40" s="75">
        <v>100</v>
      </c>
      <c r="J40" s="52" t="str">
        <f>'HS - Detail'!E51</f>
        <v>NA</v>
      </c>
      <c r="K40" s="75" t="s">
        <v>20</v>
      </c>
      <c r="L40" s="89" t="str">
        <f>IF(M40="NA", "NA", 2/3*10)</f>
        <v>NA</v>
      </c>
      <c r="M40" s="9" t="str">
        <f>IF(J40="NA", "NA", IF(J40="TFS", "NA", IF(J40="", "NA", ROUND(J40/100*(10*2/3),3))))</f>
        <v>NA</v>
      </c>
    </row>
    <row r="41" spans="1:13" x14ac:dyDescent="0.35">
      <c r="A41" s="103" t="s">
        <v>36</v>
      </c>
      <c r="B41" s="8">
        <v>17</v>
      </c>
      <c r="C41" s="110" t="s">
        <v>221</v>
      </c>
      <c r="D41" s="110"/>
      <c r="E41" s="110"/>
      <c r="F41" s="110"/>
      <c r="G41" s="110"/>
      <c r="H41" s="72" t="s">
        <v>20</v>
      </c>
      <c r="I41" s="70">
        <v>100</v>
      </c>
      <c r="J41" s="52" t="str">
        <f>'HS - Detail'!E55</f>
        <v>NA</v>
      </c>
      <c r="K41" s="70" t="s">
        <v>20</v>
      </c>
      <c r="L41" s="89" t="str">
        <f>IF(M41="NA", "NA", 1/3*10)</f>
        <v>NA</v>
      </c>
      <c r="M41" s="9" t="str">
        <f>IF(J41="NA", "NA", IF(J41="TFS", "NA", IF(J41="", "NA", ROUND(J41/100*(10*1/3),3))))</f>
        <v>NA</v>
      </c>
    </row>
    <row r="42" spans="1:13" x14ac:dyDescent="0.35">
      <c r="A42" s="103"/>
      <c r="B42" s="104"/>
      <c r="C42" s="104"/>
      <c r="D42" s="104"/>
      <c r="E42" s="104"/>
      <c r="F42" s="104"/>
      <c r="G42" s="104"/>
      <c r="H42" s="104"/>
      <c r="I42" s="105" t="s">
        <v>21</v>
      </c>
      <c r="J42" s="105"/>
      <c r="K42" s="105"/>
      <c r="L42" s="69" t="str">
        <f>IF(AND(L40="NA", L41="NA"), "NA", SUM(L40:L41))</f>
        <v>NA</v>
      </c>
      <c r="M42" s="77" t="str">
        <f>IF(AND(M40="NA", M41="NA"), "NA", SUM(M40:M41))</f>
        <v>NA</v>
      </c>
    </row>
    <row r="43" spans="1:13" x14ac:dyDescent="0.35">
      <c r="A43" s="103"/>
      <c r="B43" s="104"/>
      <c r="C43" s="104"/>
      <c r="D43" s="104"/>
      <c r="E43" s="104"/>
      <c r="F43" s="104"/>
      <c r="G43" s="104"/>
      <c r="H43" s="104"/>
      <c r="I43" s="105" t="s">
        <v>22</v>
      </c>
      <c r="J43" s="105"/>
      <c r="K43" s="105"/>
      <c r="L43" s="106" t="str">
        <f>IF(L42="NA","NA",ROUND(M42/L42,3))</f>
        <v>NA</v>
      </c>
      <c r="M43" s="106"/>
    </row>
    <row r="44" spans="1:13" x14ac:dyDescent="0.35">
      <c r="A44" s="103"/>
      <c r="B44" s="104"/>
      <c r="C44" s="104"/>
      <c r="D44" s="104"/>
      <c r="E44" s="104"/>
      <c r="F44" s="104"/>
      <c r="G44" s="104"/>
      <c r="H44" s="104"/>
      <c r="I44" s="105" t="s">
        <v>23</v>
      </c>
      <c r="J44" s="105"/>
      <c r="K44" s="105"/>
      <c r="L44" s="107">
        <v>0.3</v>
      </c>
      <c r="M44" s="108"/>
    </row>
    <row r="45" spans="1:13" x14ac:dyDescent="0.35">
      <c r="A45" s="103"/>
      <c r="B45" s="104"/>
      <c r="C45" s="104"/>
      <c r="D45" s="104"/>
      <c r="E45" s="104"/>
      <c r="F45" s="104"/>
      <c r="G45" s="104"/>
      <c r="H45" s="104"/>
      <c r="I45" s="105" t="s">
        <v>24</v>
      </c>
      <c r="J45" s="105"/>
      <c r="K45" s="105"/>
      <c r="L45" s="109" t="str">
        <f>IF(L43="NA","NA",ROUND(L43*L44,4))</f>
        <v>NA</v>
      </c>
      <c r="M45" s="109"/>
    </row>
    <row r="46" spans="1:13" x14ac:dyDescent="0.35">
      <c r="A46" s="4"/>
      <c r="B46" s="4"/>
      <c r="C46" s="4"/>
      <c r="D46" s="4"/>
      <c r="E46" s="4"/>
      <c r="F46" s="4"/>
      <c r="G46" s="4"/>
      <c r="H46" s="4"/>
      <c r="I46" s="4"/>
      <c r="J46" s="4"/>
      <c r="K46" s="4"/>
      <c r="L46" s="4"/>
      <c r="M46" s="4"/>
    </row>
    <row r="47" spans="1:13" x14ac:dyDescent="0.35">
      <c r="A47" s="105" t="s">
        <v>38</v>
      </c>
      <c r="B47" s="105"/>
      <c r="C47" s="105"/>
      <c r="D47" s="105"/>
      <c r="E47" s="105"/>
      <c r="F47" s="105"/>
      <c r="G47" s="105"/>
      <c r="H47" s="105"/>
      <c r="I47" s="105"/>
      <c r="J47" s="105"/>
      <c r="K47" s="105"/>
      <c r="L47" s="109" t="str">
        <f>L26</f>
        <v>NA</v>
      </c>
      <c r="M47" s="109"/>
    </row>
    <row r="48" spans="1:13" x14ac:dyDescent="0.35">
      <c r="A48" s="105" t="s">
        <v>261</v>
      </c>
      <c r="B48" s="105"/>
      <c r="C48" s="105"/>
      <c r="D48" s="105"/>
      <c r="E48" s="105"/>
      <c r="F48" s="105"/>
      <c r="G48" s="105"/>
      <c r="H48" s="105"/>
      <c r="I48" s="105"/>
      <c r="J48" s="105"/>
      <c r="K48" s="105"/>
      <c r="L48" s="109" t="str">
        <f>L38</f>
        <v>NA</v>
      </c>
      <c r="M48" s="109"/>
    </row>
    <row r="49" spans="1:13" x14ac:dyDescent="0.35">
      <c r="A49" s="105" t="s">
        <v>262</v>
      </c>
      <c r="B49" s="105"/>
      <c r="C49" s="105"/>
      <c r="D49" s="105"/>
      <c r="E49" s="105"/>
      <c r="F49" s="105"/>
      <c r="G49" s="105"/>
      <c r="H49" s="105"/>
      <c r="I49" s="105"/>
      <c r="J49" s="105"/>
      <c r="K49" s="105"/>
      <c r="L49" s="109" t="str">
        <f>L45</f>
        <v>NA</v>
      </c>
      <c r="M49" s="109"/>
    </row>
    <row r="50" spans="1:13" x14ac:dyDescent="0.35">
      <c r="A50" s="105" t="s">
        <v>39</v>
      </c>
      <c r="B50" s="105"/>
      <c r="C50" s="105"/>
      <c r="D50" s="105"/>
      <c r="E50" s="105"/>
      <c r="F50" s="105"/>
      <c r="G50" s="105"/>
      <c r="H50" s="105"/>
      <c r="I50" s="105"/>
      <c r="J50" s="105"/>
      <c r="K50" s="105"/>
      <c r="L50" s="111" t="str">
        <f>IF(L47="NA", "NA", IF(AND(L47="NA", L48="NA", L49="NA"), "NA", SUM(L47:M49)))</f>
        <v>NA</v>
      </c>
      <c r="M50" s="111"/>
    </row>
    <row r="51" spans="1:13" x14ac:dyDescent="0.35">
      <c r="A51" s="105" t="s">
        <v>40</v>
      </c>
      <c r="B51" s="105"/>
      <c r="C51" s="105"/>
      <c r="D51" s="105"/>
      <c r="E51" s="105"/>
      <c r="F51" s="105"/>
      <c r="G51" s="105"/>
      <c r="H51" s="105"/>
      <c r="I51" s="105"/>
      <c r="J51" s="105"/>
      <c r="K51" s="112"/>
      <c r="L51" s="113" t="str">
        <f>IF(L50="NA","NA",(IF(AND(L48="NA",L49="NA"),ROUND((L50/0.4)*50,1),IF(L49="NA",ROUND(((SUM(L47:M48))/0.7)*50,1),IF(L50&lt;&gt;"NA",ROUND(L50*50,1))))))</f>
        <v>NA</v>
      </c>
      <c r="M51" s="113"/>
    </row>
    <row r="52" spans="1:13" x14ac:dyDescent="0.35">
      <c r="A52" s="4"/>
      <c r="B52" s="4"/>
      <c r="C52" s="4"/>
      <c r="D52" s="4"/>
      <c r="E52" s="4"/>
      <c r="F52" s="4"/>
      <c r="G52" s="4"/>
      <c r="H52" s="4"/>
      <c r="I52" s="4"/>
      <c r="J52" s="4"/>
      <c r="K52" s="4"/>
      <c r="L52" s="4"/>
      <c r="M52" s="4"/>
    </row>
    <row r="53" spans="1:13" ht="18.5" x14ac:dyDescent="0.35">
      <c r="A53" s="95" t="s">
        <v>5</v>
      </c>
      <c r="B53" s="95"/>
      <c r="C53" s="95"/>
      <c r="D53" s="95"/>
      <c r="E53" s="95"/>
      <c r="F53" s="95"/>
      <c r="G53" s="95"/>
      <c r="H53" s="95"/>
      <c r="I53" s="95"/>
      <c r="J53" s="95"/>
      <c r="K53" s="95"/>
      <c r="L53" s="95"/>
      <c r="M53" s="95"/>
    </row>
    <row r="54" spans="1:13" ht="30" customHeight="1" x14ac:dyDescent="0.35">
      <c r="A54" s="120" t="s">
        <v>251</v>
      </c>
      <c r="B54" s="120"/>
      <c r="C54" s="120"/>
      <c r="D54" s="120"/>
      <c r="E54" s="120"/>
      <c r="F54" s="120"/>
      <c r="G54" s="120"/>
      <c r="H54" s="114" t="s">
        <v>42</v>
      </c>
      <c r="I54" s="114"/>
      <c r="J54" s="114"/>
      <c r="K54" s="114" t="s">
        <v>43</v>
      </c>
      <c r="L54" s="114"/>
      <c r="M54" s="114"/>
    </row>
    <row r="55" spans="1:13" x14ac:dyDescent="0.35">
      <c r="A55" s="115" t="s">
        <v>256</v>
      </c>
      <c r="B55" s="115"/>
      <c r="C55" s="115"/>
      <c r="D55" s="115"/>
      <c r="E55" s="115"/>
      <c r="F55" s="115"/>
      <c r="G55" s="115"/>
      <c r="H55" s="116" t="str">
        <f>IF(K55="NA", "NA", IF(K55="TFS", "NA", 'HS - Detail'!D61))</f>
        <v>NA</v>
      </c>
      <c r="I55" s="116"/>
      <c r="J55" s="116"/>
      <c r="K55" s="119" t="str">
        <f>IF('HS - Detail'!C61="", "NA", IF('HS - Detail'!C61="NA", "NA", IF('HS - Detail'!C61&lt;15, "TFS", 'HS - Detail'!C61)))</f>
        <v>NA</v>
      </c>
      <c r="L55" s="117"/>
      <c r="M55" s="118"/>
    </row>
    <row r="56" spans="1:13" x14ac:dyDescent="0.35">
      <c r="A56" s="115" t="s">
        <v>257</v>
      </c>
      <c r="B56" s="115"/>
      <c r="C56" s="115"/>
      <c r="D56" s="115"/>
      <c r="E56" s="115"/>
      <c r="F56" s="115"/>
      <c r="G56" s="115"/>
      <c r="H56" s="116" t="str">
        <f>IF(K56="NA", "NA", IF(K56="TFS", "NA", 'HS - Detail'!F61))</f>
        <v>NA</v>
      </c>
      <c r="I56" s="117"/>
      <c r="J56" s="118"/>
      <c r="K56" s="119" t="str">
        <f>IF('HS - Detail'!E61="", "NA", IF('HS - Detail'!E61="NA", "NA", IF('HS - Detail'!E61&lt;15, "TFS", 'HS - Detail'!E61)))</f>
        <v>NA</v>
      </c>
      <c r="L56" s="117"/>
      <c r="M56" s="118"/>
    </row>
    <row r="57" spans="1:13" x14ac:dyDescent="0.35">
      <c r="A57" s="115" t="s">
        <v>258</v>
      </c>
      <c r="B57" s="115"/>
      <c r="C57" s="115"/>
      <c r="D57" s="115"/>
      <c r="E57" s="115"/>
      <c r="F57" s="115"/>
      <c r="G57" s="115"/>
      <c r="H57" s="116" t="str">
        <f>IF(K57="NA", "NA", IF(K57="TFS", "NA", 'HS - Detail'!H61))</f>
        <v>NA</v>
      </c>
      <c r="I57" s="117"/>
      <c r="J57" s="118"/>
      <c r="K57" s="119" t="str">
        <f>IF('HS - Detail'!G61="", "NA", IF('HS - Detail'!G61="NA", "NA", IF('HS - Detail'!G61&lt;15, "TFS", 'HS - Detail'!G61)))</f>
        <v>NA</v>
      </c>
      <c r="L57" s="117"/>
      <c r="M57" s="118"/>
    </row>
    <row r="58" spans="1:13" x14ac:dyDescent="0.35">
      <c r="A58" s="115" t="s">
        <v>259</v>
      </c>
      <c r="B58" s="115"/>
      <c r="C58" s="115"/>
      <c r="D58" s="115"/>
      <c r="E58" s="115"/>
      <c r="F58" s="115"/>
      <c r="G58" s="115"/>
      <c r="H58" s="119" t="str">
        <f>IF(K58="NA", "NA", IF(K58="TFS", "NA", 'HS - Detail'!J61))</f>
        <v>NA</v>
      </c>
      <c r="I58" s="117"/>
      <c r="J58" s="118"/>
      <c r="K58" s="119" t="str">
        <f>IF('HS - Detail'!I61="", "NA", IF('HS - Detail'!I61="NA", "NA", IF('HS - Detail'!I61&lt;15, "TFS", 'HS - Detail'!I61)))</f>
        <v>NA</v>
      </c>
      <c r="L58" s="117"/>
      <c r="M58" s="118"/>
    </row>
    <row r="59" spans="1:13" x14ac:dyDescent="0.35">
      <c r="A59" s="121" t="s">
        <v>48</v>
      </c>
      <c r="B59" s="121"/>
      <c r="C59" s="121"/>
      <c r="D59" s="121"/>
      <c r="E59" s="121"/>
      <c r="F59" s="121"/>
      <c r="G59" s="121"/>
      <c r="H59" s="114" t="str">
        <f>IF(AND(H55="NA", H56="NA", H57="NA", H58="NA"), "NA", SUM(H55:J58))</f>
        <v>NA</v>
      </c>
      <c r="I59" s="114"/>
      <c r="J59" s="114"/>
      <c r="K59" s="114" t="str">
        <f>IF(AND(K55="NA", K56="NA", K57="NA", K58="NA"), "NA", SUM(K55:M58))</f>
        <v>NA</v>
      </c>
      <c r="L59" s="114"/>
      <c r="M59" s="114"/>
    </row>
    <row r="60" spans="1:13" x14ac:dyDescent="0.35">
      <c r="A60" s="121" t="s">
        <v>49</v>
      </c>
      <c r="B60" s="121"/>
      <c r="C60" s="121"/>
      <c r="D60" s="121"/>
      <c r="E60" s="121"/>
      <c r="F60" s="121"/>
      <c r="G60" s="121"/>
      <c r="H60" s="123" t="str">
        <f>IF(K59&lt;15,"TFS",IF(K59="NA","NA",ROUND(H59/K59,5)))</f>
        <v>NA</v>
      </c>
      <c r="I60" s="123"/>
      <c r="J60" s="123"/>
      <c r="K60" s="123"/>
      <c r="L60" s="123"/>
      <c r="M60" s="123"/>
    </row>
    <row r="61" spans="1:13" x14ac:dyDescent="0.35">
      <c r="A61" s="121" t="s">
        <v>146</v>
      </c>
      <c r="B61" s="121"/>
      <c r="C61" s="121"/>
      <c r="D61" s="121"/>
      <c r="E61" s="121"/>
      <c r="F61" s="121"/>
      <c r="G61" s="121"/>
      <c r="H61" s="122">
        <v>0.754</v>
      </c>
      <c r="I61" s="122"/>
      <c r="J61" s="122"/>
      <c r="K61" s="122"/>
      <c r="L61" s="122"/>
      <c r="M61" s="122"/>
    </row>
    <row r="62" spans="1:13" x14ac:dyDescent="0.35">
      <c r="A62" s="121" t="s">
        <v>50</v>
      </c>
      <c r="B62" s="121"/>
      <c r="C62" s="121"/>
      <c r="D62" s="121"/>
      <c r="E62" s="121"/>
      <c r="F62" s="121"/>
      <c r="G62" s="121"/>
      <c r="H62" s="123" t="str">
        <f>IF(H60="TFS","TFS",IF(H60="NA","NA",MIN(ROUND(H60/H61,5), 1)))</f>
        <v>NA</v>
      </c>
      <c r="I62" s="123"/>
      <c r="J62" s="123"/>
      <c r="K62" s="123"/>
      <c r="L62" s="123"/>
      <c r="M62" s="123"/>
    </row>
    <row r="63" spans="1:13" x14ac:dyDescent="0.35">
      <c r="A63" s="121" t="s">
        <v>24</v>
      </c>
      <c r="B63" s="121"/>
      <c r="C63" s="121"/>
      <c r="D63" s="121"/>
      <c r="E63" s="121"/>
      <c r="F63" s="121"/>
      <c r="G63" s="121"/>
      <c r="H63" s="126" t="str">
        <f>"("&amp;(H62)&amp;")*40"</f>
        <v>(NA)*40</v>
      </c>
      <c r="I63" s="127"/>
      <c r="J63" s="127"/>
      <c r="K63" s="127"/>
      <c r="L63" s="127"/>
      <c r="M63" s="127"/>
    </row>
    <row r="64" spans="1:13" x14ac:dyDescent="0.35">
      <c r="A64" s="121" t="s">
        <v>51</v>
      </c>
      <c r="B64" s="121"/>
      <c r="C64" s="121"/>
      <c r="D64" s="121"/>
      <c r="E64" s="121"/>
      <c r="F64" s="121"/>
      <c r="G64" s="121"/>
      <c r="H64" s="127" t="str">
        <f>IF(H62="NA","NA",(IF(H62="TFS","NA",ROUND(H62*40,1))))</f>
        <v>NA</v>
      </c>
      <c r="I64" s="127"/>
      <c r="J64" s="127"/>
      <c r="K64" s="127"/>
      <c r="L64" s="127"/>
      <c r="M64" s="127"/>
    </row>
    <row r="65" spans="1:13" x14ac:dyDescent="0.35">
      <c r="A65" s="3" t="s">
        <v>108</v>
      </c>
      <c r="B65" s="3"/>
      <c r="C65" s="3"/>
      <c r="D65" s="3"/>
      <c r="E65" s="3"/>
      <c r="F65" s="3"/>
      <c r="G65" s="3"/>
      <c r="H65" s="3"/>
      <c r="I65" s="3"/>
      <c r="J65" s="3"/>
      <c r="K65" s="3"/>
      <c r="L65" s="3"/>
      <c r="M65" s="3"/>
    </row>
    <row r="66" spans="1:13" ht="18.5" x14ac:dyDescent="0.35">
      <c r="A66" s="124" t="s">
        <v>6</v>
      </c>
      <c r="B66" s="124"/>
      <c r="C66" s="124"/>
      <c r="D66" s="124"/>
      <c r="E66" s="124"/>
      <c r="F66" s="124"/>
      <c r="G66" s="124"/>
      <c r="H66" s="124"/>
      <c r="I66" s="124"/>
      <c r="J66" s="124"/>
      <c r="K66" s="124"/>
      <c r="L66" s="124"/>
      <c r="M66" s="124"/>
    </row>
    <row r="67" spans="1:13" x14ac:dyDescent="0.35">
      <c r="A67" s="108" t="s">
        <v>251</v>
      </c>
      <c r="B67" s="108"/>
      <c r="C67" s="108"/>
      <c r="D67" s="108"/>
      <c r="E67" s="108"/>
      <c r="F67" s="108" t="s">
        <v>52</v>
      </c>
      <c r="G67" s="108"/>
      <c r="H67" s="108" t="s">
        <v>53</v>
      </c>
      <c r="I67" s="108"/>
      <c r="J67" s="125" t="s">
        <v>55</v>
      </c>
      <c r="K67" s="108"/>
      <c r="L67" s="108" t="s">
        <v>54</v>
      </c>
      <c r="M67" s="108"/>
    </row>
    <row r="68" spans="1:13" x14ac:dyDescent="0.35">
      <c r="A68" s="128" t="s">
        <v>252</v>
      </c>
      <c r="B68" s="128"/>
      <c r="C68" s="128"/>
      <c r="D68" s="128"/>
      <c r="E68" s="128"/>
      <c r="F68" s="129" t="str">
        <f>'HS - Detail'!H66</f>
        <v>NA</v>
      </c>
      <c r="G68" s="129"/>
      <c r="H68" s="129" t="str">
        <f>'HS - Detail'!K66</f>
        <v>NA</v>
      </c>
      <c r="I68" s="129"/>
      <c r="J68" s="104" t="str">
        <f>IF(AND(F68="",H68=""),"NA",IF(H68="NA","NA",IF(H68="TFS","TFS",MAX(F68,H68))))</f>
        <v>NA</v>
      </c>
      <c r="K68" s="104"/>
      <c r="L68" s="104" t="str">
        <f>IF(J68="NA","NA",IF(J68="TFS","TFS",3))</f>
        <v>NA</v>
      </c>
      <c r="M68" s="104"/>
    </row>
    <row r="69" spans="1:13" x14ac:dyDescent="0.35">
      <c r="A69" s="128" t="s">
        <v>253</v>
      </c>
      <c r="B69" s="128"/>
      <c r="C69" s="128"/>
      <c r="D69" s="128"/>
      <c r="E69" s="128"/>
      <c r="F69" s="129" t="str">
        <f>'HS - Detail'!H67</f>
        <v>NA</v>
      </c>
      <c r="G69" s="129"/>
      <c r="H69" s="129" t="str">
        <f>'HS - Detail'!K67</f>
        <v>NA</v>
      </c>
      <c r="I69" s="129"/>
      <c r="J69" s="104" t="str">
        <f>IF(AND(F69="",H69=""),"NA",IF(H69="NA","NA",IF(H69="TFS","TFS",MAX(F69,H69))))</f>
        <v>NA</v>
      </c>
      <c r="K69" s="104"/>
      <c r="L69" s="104" t="str">
        <f>IF(J69="NA","NA",IF(J69="TFS","TFS",3))</f>
        <v>NA</v>
      </c>
      <c r="M69" s="104"/>
    </row>
    <row r="70" spans="1:13" x14ac:dyDescent="0.35">
      <c r="A70" s="128" t="s">
        <v>254</v>
      </c>
      <c r="B70" s="128"/>
      <c r="C70" s="128"/>
      <c r="D70" s="128"/>
      <c r="E70" s="128"/>
      <c r="F70" s="129" t="str">
        <f>'HS - Detail'!H68</f>
        <v>NA</v>
      </c>
      <c r="G70" s="129"/>
      <c r="H70" s="129" t="str">
        <f>'HS - Detail'!K68</f>
        <v>NA</v>
      </c>
      <c r="I70" s="129"/>
      <c r="J70" s="104" t="str">
        <f>IF(AND(F70="",H70=""),"NA",IF(H70="NA","NA",IF(H70="TFS","TFS",MAX(F70,H70))))</f>
        <v>NA</v>
      </c>
      <c r="K70" s="104"/>
      <c r="L70" s="104" t="str">
        <f>IF(J70="NA","NA",IF(J70="TFS","TFS",3))</f>
        <v>NA</v>
      </c>
      <c r="M70" s="104"/>
    </row>
    <row r="71" spans="1:13" x14ac:dyDescent="0.35">
      <c r="A71" s="128" t="s">
        <v>255</v>
      </c>
      <c r="B71" s="128"/>
      <c r="C71" s="128"/>
      <c r="D71" s="128"/>
      <c r="E71" s="128"/>
      <c r="F71" s="129" t="str">
        <f>'HS - Detail'!H69</f>
        <v>NA</v>
      </c>
      <c r="G71" s="129"/>
      <c r="H71" s="129" t="str">
        <f>'HS - Detail'!K69</f>
        <v>NA</v>
      </c>
      <c r="I71" s="129"/>
      <c r="J71" s="104" t="str">
        <f>IF(AND(F71="",H71=""),"NA",IF(H71="NA","NA",IF(H71="TFS","TFS",MAX(F71,H71))))</f>
        <v>NA</v>
      </c>
      <c r="K71" s="104"/>
      <c r="L71" s="104" t="str">
        <f>IF(J71="NA","NA",IF(J71="TFS","TFS",3))</f>
        <v>NA</v>
      </c>
      <c r="M71" s="104"/>
    </row>
    <row r="72" spans="1:13" x14ac:dyDescent="0.35">
      <c r="A72" s="130" t="s">
        <v>48</v>
      </c>
      <c r="B72" s="130"/>
      <c r="C72" s="130"/>
      <c r="D72" s="130"/>
      <c r="E72" s="130"/>
      <c r="F72" s="131"/>
      <c r="G72" s="131"/>
      <c r="H72" s="131"/>
      <c r="I72" s="131"/>
      <c r="J72" s="131" t="str">
        <f>IF(AND(J68="NA",J69="NA",J70="NA",J71="NA"), "NA", IF(AND(J68="TFS",J69="TFS",J70="TFS",J71="TFS"), "NA", SUM(J68:K71)))</f>
        <v>NA</v>
      </c>
      <c r="K72" s="131"/>
      <c r="L72" s="131" t="str">
        <f>IF(AND(L68="NA",L69="NA",L70="NA",L71="NA"),"NA",IF(AND(L68="TFS",L69="TFS",L70="TFS",L71="TFS"),"NA",SUM(L68:M71)))</f>
        <v>NA</v>
      </c>
      <c r="M72" s="131"/>
    </row>
    <row r="73" spans="1:13" x14ac:dyDescent="0.35">
      <c r="A73" s="130" t="s">
        <v>60</v>
      </c>
      <c r="B73" s="130"/>
      <c r="C73" s="130"/>
      <c r="D73" s="130"/>
      <c r="E73" s="130"/>
      <c r="F73" s="132" t="str">
        <f>IF(J72="NA","NA",IF(J72=L72, 1, ROUND(J72/L72,5)))</f>
        <v>NA</v>
      </c>
      <c r="G73" s="132"/>
      <c r="H73" s="132"/>
      <c r="I73" s="132"/>
      <c r="J73" s="132"/>
      <c r="K73" s="132"/>
      <c r="L73" s="132"/>
      <c r="M73" s="132"/>
    </row>
    <row r="74" spans="1:13" x14ac:dyDescent="0.35">
      <c r="A74" s="130" t="s">
        <v>24</v>
      </c>
      <c r="B74" s="130"/>
      <c r="C74" s="130"/>
      <c r="D74" s="130"/>
      <c r="E74" s="130"/>
      <c r="F74" s="131" t="str">
        <f>"("&amp;(F73)&amp;")*10"</f>
        <v>(NA)*10</v>
      </c>
      <c r="G74" s="131"/>
      <c r="H74" s="131"/>
      <c r="I74" s="131"/>
      <c r="J74" s="131"/>
      <c r="K74" s="131"/>
      <c r="L74" s="131"/>
      <c r="M74" s="131"/>
    </row>
    <row r="75" spans="1:13" x14ac:dyDescent="0.35">
      <c r="A75" s="130" t="s">
        <v>61</v>
      </c>
      <c r="B75" s="130"/>
      <c r="C75" s="130"/>
      <c r="D75" s="130"/>
      <c r="E75" s="130"/>
      <c r="F75" s="131" t="str">
        <f>IF(F73="NA","NA",ROUND(F73*10,1))</f>
        <v>NA</v>
      </c>
      <c r="G75" s="131"/>
      <c r="H75" s="131"/>
      <c r="I75" s="131"/>
      <c r="J75" s="131"/>
      <c r="K75" s="131"/>
      <c r="L75" s="131"/>
      <c r="M75" s="131"/>
    </row>
    <row r="76" spans="1:13" x14ac:dyDescent="0.35">
      <c r="A76" s="4"/>
      <c r="B76" s="4"/>
      <c r="C76" s="4"/>
      <c r="D76" s="4"/>
      <c r="E76" s="4"/>
      <c r="F76" s="4"/>
      <c r="G76" s="4"/>
      <c r="H76" s="4"/>
      <c r="I76" s="4"/>
      <c r="J76" s="4"/>
      <c r="K76" s="4"/>
      <c r="L76" s="4"/>
      <c r="M76" s="4"/>
    </row>
    <row r="77" spans="1:13" ht="18.5" x14ac:dyDescent="0.35">
      <c r="A77" s="95" t="s">
        <v>10</v>
      </c>
      <c r="B77" s="95"/>
      <c r="C77" s="95"/>
      <c r="D77" s="95"/>
      <c r="E77" s="95"/>
      <c r="F77" s="95"/>
      <c r="G77" s="95"/>
      <c r="H77" s="95"/>
      <c r="I77" s="95"/>
      <c r="J77" s="95"/>
      <c r="K77" s="95"/>
      <c r="L77" s="95"/>
      <c r="M77" s="95"/>
    </row>
    <row r="78" spans="1:13" ht="30.25" customHeight="1" x14ac:dyDescent="0.35">
      <c r="A78" s="134" t="s">
        <v>142</v>
      </c>
      <c r="B78" s="134"/>
      <c r="C78" s="134"/>
      <c r="D78" s="134" t="s">
        <v>143</v>
      </c>
      <c r="E78" s="134"/>
      <c r="F78" s="134" t="s">
        <v>100</v>
      </c>
      <c r="G78" s="134"/>
      <c r="H78" s="134" t="s">
        <v>62</v>
      </c>
      <c r="I78" s="134"/>
      <c r="J78" s="134"/>
      <c r="K78" s="134" t="s">
        <v>63</v>
      </c>
      <c r="L78" s="134"/>
      <c r="M78" s="134"/>
    </row>
    <row r="79" spans="1:13" x14ac:dyDescent="0.35">
      <c r="A79" s="129">
        <f>'HS - Detail'!C78</f>
        <v>0</v>
      </c>
      <c r="B79" s="129"/>
      <c r="C79" s="129"/>
      <c r="D79" s="129">
        <f>'HS - Detail'!D78</f>
        <v>0</v>
      </c>
      <c r="E79" s="129"/>
      <c r="F79" s="137" t="str">
        <f>IF(A79="NA", "NA", IF(A79="TFS", "NA", IF(A79="", "NA", IF(A79=0, "NA", IF(D79&gt;A79, "NA", D79/A79)))))</f>
        <v>NA</v>
      </c>
      <c r="G79" s="137"/>
      <c r="H79" s="104">
        <v>10</v>
      </c>
      <c r="I79" s="104"/>
      <c r="J79" s="104"/>
      <c r="K79" s="133" t="str">
        <f>IF(F79="NA", "NA", ROUND(F79*H79,1))</f>
        <v>NA</v>
      </c>
      <c r="L79" s="133"/>
      <c r="M79" s="133"/>
    </row>
    <row r="80" spans="1:13" ht="60.65" customHeight="1" x14ac:dyDescent="0.35">
      <c r="A80" s="134" t="s">
        <v>64</v>
      </c>
      <c r="B80" s="134"/>
      <c r="C80" s="134"/>
      <c r="D80" s="134" t="s">
        <v>65</v>
      </c>
      <c r="E80" s="134"/>
      <c r="F80" s="134" t="s">
        <v>66</v>
      </c>
      <c r="G80" s="134"/>
      <c r="H80" s="104"/>
      <c r="I80" s="104"/>
      <c r="J80" s="104"/>
      <c r="K80" s="104"/>
      <c r="L80" s="104"/>
      <c r="M80" s="104"/>
    </row>
    <row r="81" spans="1:13" x14ac:dyDescent="0.35">
      <c r="A81" s="129" t="str">
        <f>IF('HS - Detail'!H74="","",'HS - Detail'!H74)</f>
        <v/>
      </c>
      <c r="B81" s="129"/>
      <c r="C81" s="129"/>
      <c r="D81" s="129" t="str">
        <f>IF('HS - Detail'!I74="","",'HS - Detail'!I74)</f>
        <v/>
      </c>
      <c r="E81" s="129"/>
      <c r="F81" s="137" t="str">
        <f>IF(A81="","", IF(A81=0, "NA", IF(A81="TFS", "NA", IF(A81="NA", "NA", IF(D81&gt;A81, "NA", D81/A81)))))</f>
        <v/>
      </c>
      <c r="G81" s="137"/>
      <c r="H81" s="104"/>
      <c r="I81" s="104"/>
      <c r="J81" s="104"/>
      <c r="K81" s="104"/>
      <c r="L81" s="104"/>
      <c r="M81" s="104"/>
    </row>
    <row r="82" spans="1:13" x14ac:dyDescent="0.35">
      <c r="A82" s="131" t="s">
        <v>67</v>
      </c>
      <c r="B82" s="131"/>
      <c r="C82" s="131"/>
      <c r="D82" s="131"/>
      <c r="E82" s="131"/>
      <c r="F82" s="131"/>
      <c r="G82" s="131"/>
      <c r="H82" s="131" t="str">
        <f>IF(F81="", "NA", IF(K79="NA", "NA", IF(F81="NA", "NA", ROUND(F81*K79,1))))</f>
        <v>NA</v>
      </c>
      <c r="I82" s="131"/>
      <c r="J82" s="131"/>
      <c r="K82" s="131"/>
      <c r="L82" s="131"/>
      <c r="M82" s="131"/>
    </row>
    <row r="83" spans="1:13" x14ac:dyDescent="0.35">
      <c r="A83" s="3"/>
      <c r="B83" s="3"/>
      <c r="C83" s="3"/>
      <c r="D83" s="3"/>
      <c r="E83" s="3"/>
      <c r="F83" s="3"/>
      <c r="G83" s="3"/>
      <c r="H83" s="3"/>
      <c r="I83" s="3"/>
      <c r="J83" s="3"/>
      <c r="K83" s="3"/>
      <c r="L83" s="3"/>
      <c r="M83" s="3"/>
    </row>
    <row r="84" spans="1:13" ht="18.5" x14ac:dyDescent="0.35">
      <c r="A84" s="124" t="s">
        <v>11</v>
      </c>
      <c r="B84" s="124"/>
      <c r="C84" s="124"/>
      <c r="D84" s="124"/>
      <c r="E84" s="124"/>
      <c r="F84" s="124"/>
      <c r="G84" s="124"/>
      <c r="H84" s="124"/>
      <c r="I84" s="124"/>
      <c r="J84" s="124"/>
      <c r="K84" s="124"/>
      <c r="L84" s="124"/>
      <c r="M84" s="124"/>
    </row>
    <row r="85" spans="1:13" ht="39" x14ac:dyDescent="0.35">
      <c r="A85" s="12"/>
      <c r="B85" s="136" t="s">
        <v>229</v>
      </c>
      <c r="C85" s="136"/>
      <c r="D85" s="136"/>
      <c r="E85" s="136"/>
      <c r="F85" s="136"/>
      <c r="G85" s="136"/>
      <c r="H85" s="136"/>
      <c r="I85" s="136"/>
      <c r="J85" s="13" t="s">
        <v>70</v>
      </c>
      <c r="K85" s="13" t="s">
        <v>71</v>
      </c>
      <c r="L85" s="13" t="s">
        <v>17</v>
      </c>
      <c r="M85" s="13" t="s">
        <v>18</v>
      </c>
    </row>
    <row r="86" spans="1:13" x14ac:dyDescent="0.35">
      <c r="A86" s="70">
        <v>1</v>
      </c>
      <c r="B86" s="110" t="s">
        <v>230</v>
      </c>
      <c r="C86" s="110"/>
      <c r="D86" s="110"/>
      <c r="E86" s="110"/>
      <c r="F86" s="110"/>
      <c r="G86" s="110"/>
      <c r="H86" s="110"/>
      <c r="I86" s="110"/>
      <c r="J86" s="70">
        <v>95.8</v>
      </c>
      <c r="K86" s="51" t="str">
        <f>'HS - Detail'!E83</f>
        <v>NA</v>
      </c>
      <c r="L86" s="70">
        <v>0.5</v>
      </c>
      <c r="M86" s="70" t="str">
        <f>IF(K86="TFS", "NA", IF(K86="NA", "NA", IF(K86&gt;=J86,0.5,0)))</f>
        <v>NA</v>
      </c>
    </row>
    <row r="87" spans="1:13" ht="45" customHeight="1" x14ac:dyDescent="0.35">
      <c r="A87" s="70">
        <v>2</v>
      </c>
      <c r="B87" s="110" t="s">
        <v>231</v>
      </c>
      <c r="C87" s="110"/>
      <c r="D87" s="110"/>
      <c r="E87" s="110"/>
      <c r="F87" s="110"/>
      <c r="G87" s="110"/>
      <c r="H87" s="110"/>
      <c r="I87" s="110"/>
      <c r="J87" s="70">
        <v>38.4</v>
      </c>
      <c r="K87" s="51" t="str">
        <f>'HS - Detail'!E87</f>
        <v>NA</v>
      </c>
      <c r="L87" s="70">
        <v>0.5</v>
      </c>
      <c r="M87" s="90" t="str">
        <f>IF(K87="TFS", "NA", IF(K87="NA", "NA", IF(K87&gt;=J87,0.5,0)))</f>
        <v>NA</v>
      </c>
    </row>
    <row r="88" spans="1:13" ht="45" customHeight="1" x14ac:dyDescent="0.35">
      <c r="A88" s="70">
        <v>3</v>
      </c>
      <c r="B88" s="110" t="s">
        <v>232</v>
      </c>
      <c r="C88" s="110"/>
      <c r="D88" s="110"/>
      <c r="E88" s="110"/>
      <c r="F88" s="110"/>
      <c r="G88" s="110"/>
      <c r="H88" s="110"/>
      <c r="I88" s="110"/>
      <c r="J88" s="70">
        <v>38.200000000000003</v>
      </c>
      <c r="K88" s="51" t="str">
        <f>'HS - Detail'!E91</f>
        <v>NA</v>
      </c>
      <c r="L88" s="70">
        <v>0.5</v>
      </c>
      <c r="M88" s="90" t="str">
        <f>IF(K88="TFS", "NA", IF(K88="NA", "NA", IF(K88&gt;=J88,0.5,0)))</f>
        <v>NA</v>
      </c>
    </row>
    <row r="89" spans="1:13" ht="30" customHeight="1" x14ac:dyDescent="0.35">
      <c r="A89" s="75">
        <v>4</v>
      </c>
      <c r="B89" s="110" t="s">
        <v>74</v>
      </c>
      <c r="C89" s="110"/>
      <c r="D89" s="110"/>
      <c r="E89" s="110"/>
      <c r="F89" s="110"/>
      <c r="G89" s="110"/>
      <c r="H89" s="110"/>
      <c r="I89" s="110"/>
      <c r="J89" s="75" t="s">
        <v>20</v>
      </c>
      <c r="K89" s="51" t="str">
        <f>'HS - Detail'!D95</f>
        <v>NA</v>
      </c>
      <c r="L89" s="75">
        <v>0.5</v>
      </c>
      <c r="M89" s="75" t="str">
        <f>IF(K89="NA", "NA", IF(K89="Y",0.5,0))</f>
        <v>NA</v>
      </c>
    </row>
    <row r="90" spans="1:13" ht="30" customHeight="1" x14ac:dyDescent="0.35">
      <c r="A90" s="75">
        <v>5</v>
      </c>
      <c r="B90" s="110" t="s">
        <v>233</v>
      </c>
      <c r="C90" s="110"/>
      <c r="D90" s="110"/>
      <c r="E90" s="110"/>
      <c r="F90" s="110"/>
      <c r="G90" s="110"/>
      <c r="H90" s="110"/>
      <c r="I90" s="110"/>
      <c r="J90" s="75">
        <v>90.7</v>
      </c>
      <c r="K90" s="51" t="str">
        <f>'HS - Detail'!E99</f>
        <v>NA</v>
      </c>
      <c r="L90" s="75">
        <v>0.5</v>
      </c>
      <c r="M90" s="90" t="str">
        <f>IF(K90="TFS", "NA", IF(K90="NA", "NA", IF(K90&gt;=J90,0.5,0)))</f>
        <v>NA</v>
      </c>
    </row>
    <row r="91" spans="1:13" ht="30.75" customHeight="1" x14ac:dyDescent="0.35">
      <c r="A91" s="75">
        <v>6</v>
      </c>
      <c r="B91" s="110" t="s">
        <v>234</v>
      </c>
      <c r="C91" s="110"/>
      <c r="D91" s="110"/>
      <c r="E91" s="110"/>
      <c r="F91" s="110"/>
      <c r="G91" s="110"/>
      <c r="H91" s="110"/>
      <c r="I91" s="110"/>
      <c r="J91" s="75">
        <v>90.9</v>
      </c>
      <c r="K91" s="51" t="str">
        <f>'HS - Detail'!E103</f>
        <v>NA</v>
      </c>
      <c r="L91" s="75">
        <v>0.5</v>
      </c>
      <c r="M91" s="90" t="str">
        <f>IF(K91="TFS", "NA", IF(K91="NA", "NA", IF(K91&gt;=J91,0.5,0)))</f>
        <v>NA</v>
      </c>
    </row>
    <row r="92" spans="1:13" x14ac:dyDescent="0.35">
      <c r="A92" s="75">
        <v>7</v>
      </c>
      <c r="B92" s="110" t="s">
        <v>235</v>
      </c>
      <c r="C92" s="110"/>
      <c r="D92" s="110"/>
      <c r="E92" s="110"/>
      <c r="F92" s="110"/>
      <c r="G92" s="110"/>
      <c r="H92" s="110"/>
      <c r="I92" s="110"/>
      <c r="J92" s="75">
        <v>47.1</v>
      </c>
      <c r="K92" s="51" t="str">
        <f>'HS - Detail'!E107</f>
        <v>NA</v>
      </c>
      <c r="L92" s="75">
        <v>0.5</v>
      </c>
      <c r="M92" s="90" t="str">
        <f>IF(K92="TFS", "NA", IF(K92="NA", "NA", IF(K92&gt;=J92,0.5,0)))</f>
        <v>NA</v>
      </c>
    </row>
    <row r="93" spans="1:13" x14ac:dyDescent="0.35">
      <c r="A93" s="70">
        <v>8</v>
      </c>
      <c r="B93" s="110" t="s">
        <v>76</v>
      </c>
      <c r="C93" s="110"/>
      <c r="D93" s="110"/>
      <c r="E93" s="110"/>
      <c r="F93" s="110"/>
      <c r="G93" s="110"/>
      <c r="H93" s="110"/>
      <c r="I93" s="110"/>
      <c r="J93" s="70" t="s">
        <v>20</v>
      </c>
      <c r="K93" s="51" t="str">
        <f>'HS - Detail'!D111</f>
        <v>NA</v>
      </c>
      <c r="L93" s="70">
        <v>0.5</v>
      </c>
      <c r="M93" s="70" t="str">
        <f>IF(K93="NA", "NA", IF(K93="Y",0.5,0))</f>
        <v>NA</v>
      </c>
    </row>
    <row r="94" spans="1:13" ht="105.75" customHeight="1" x14ac:dyDescent="0.35">
      <c r="A94" s="70">
        <v>9</v>
      </c>
      <c r="B94" s="110" t="s">
        <v>77</v>
      </c>
      <c r="C94" s="110"/>
      <c r="D94" s="110"/>
      <c r="E94" s="110"/>
      <c r="F94" s="110"/>
      <c r="G94" s="110"/>
      <c r="H94" s="110"/>
      <c r="I94" s="110"/>
      <c r="J94" s="70" t="s">
        <v>20</v>
      </c>
      <c r="K94" s="51" t="str">
        <f>'HS - Detail'!D115</f>
        <v>NA</v>
      </c>
      <c r="L94" s="70">
        <v>0.5</v>
      </c>
      <c r="M94" s="70" t="str">
        <f>IF(K94="NA", "NA", IF(K94="Y",0.5,0))</f>
        <v>NA</v>
      </c>
    </row>
    <row r="95" spans="1:13" ht="60.65" customHeight="1" x14ac:dyDescent="0.35">
      <c r="A95" s="70">
        <v>10</v>
      </c>
      <c r="B95" s="110" t="s">
        <v>78</v>
      </c>
      <c r="C95" s="110"/>
      <c r="D95" s="110"/>
      <c r="E95" s="110"/>
      <c r="F95" s="110"/>
      <c r="G95" s="110"/>
      <c r="H95" s="110"/>
      <c r="I95" s="110"/>
      <c r="J95" s="70" t="s">
        <v>20</v>
      </c>
      <c r="K95" s="51" t="str">
        <f>'HS - Detail'!D119</f>
        <v>NA</v>
      </c>
      <c r="L95" s="70">
        <v>0.5</v>
      </c>
      <c r="M95" s="70" t="str">
        <f>IF(K95="NA", "NA", IF(K95="Y",0.5,0))</f>
        <v>NA</v>
      </c>
    </row>
    <row r="96" spans="1:13" x14ac:dyDescent="0.35">
      <c r="A96" s="105" t="s">
        <v>68</v>
      </c>
      <c r="B96" s="105"/>
      <c r="C96" s="105"/>
      <c r="D96" s="105"/>
      <c r="E96" s="105"/>
      <c r="F96" s="105"/>
      <c r="G96" s="105"/>
      <c r="H96" s="105"/>
      <c r="I96" s="105"/>
      <c r="J96" s="105"/>
      <c r="K96" s="105"/>
      <c r="L96" s="105"/>
      <c r="M96" s="78">
        <f>SUM(M86:M95)</f>
        <v>0</v>
      </c>
    </row>
    <row r="97" spans="1:13" x14ac:dyDescent="0.35">
      <c r="A97" s="3"/>
      <c r="B97" s="3"/>
      <c r="C97" s="3"/>
      <c r="D97" s="3"/>
      <c r="E97" s="3"/>
      <c r="F97" s="3"/>
      <c r="G97" s="3"/>
      <c r="H97" s="3"/>
      <c r="I97" s="3"/>
      <c r="J97" s="3"/>
      <c r="K97" s="3"/>
      <c r="L97" s="3"/>
      <c r="M97" s="3"/>
    </row>
    <row r="98" spans="1:13" x14ac:dyDescent="0.35">
      <c r="A98" s="1"/>
      <c r="B98" s="1"/>
      <c r="C98" s="1"/>
      <c r="D98" s="1"/>
      <c r="E98" s="1"/>
      <c r="F98" s="1"/>
      <c r="G98" s="1"/>
      <c r="H98" s="1"/>
      <c r="I98" s="1"/>
      <c r="J98" s="1"/>
      <c r="K98" s="1"/>
      <c r="L98" s="1"/>
      <c r="M98" s="1"/>
    </row>
    <row r="99" spans="1:13" x14ac:dyDescent="0.35">
      <c r="A99" s="1"/>
      <c r="B99" s="1"/>
      <c r="C99" s="1"/>
      <c r="D99" s="1"/>
      <c r="E99" s="1"/>
      <c r="F99" s="1"/>
      <c r="G99" s="1"/>
      <c r="H99" s="1"/>
      <c r="I99" s="1"/>
      <c r="J99" s="1"/>
      <c r="K99" s="1"/>
      <c r="L99" s="1"/>
      <c r="M99" s="1"/>
    </row>
  </sheetData>
  <sheetProtection sheet="1" objects="1" scenarios="1" selectLockedCells="1"/>
  <mergeCells count="178">
    <mergeCell ref="B94:I94"/>
    <mergeCell ref="B95:I95"/>
    <mergeCell ref="A96:L96"/>
    <mergeCell ref="C17:G17"/>
    <mergeCell ref="C18:G18"/>
    <mergeCell ref="C19:G19"/>
    <mergeCell ref="C20:G20"/>
    <mergeCell ref="C31:G31"/>
    <mergeCell ref="C32:G32"/>
    <mergeCell ref="A84:M84"/>
    <mergeCell ref="B85:I85"/>
    <mergeCell ref="B86:I86"/>
    <mergeCell ref="B87:I87"/>
    <mergeCell ref="B88:I88"/>
    <mergeCell ref="B93:I93"/>
    <mergeCell ref="A81:C81"/>
    <mergeCell ref="D81:E81"/>
    <mergeCell ref="F81:G81"/>
    <mergeCell ref="H81:J81"/>
    <mergeCell ref="K81:M81"/>
    <mergeCell ref="A82:G82"/>
    <mergeCell ref="H82:M82"/>
    <mergeCell ref="A79:C79"/>
    <mergeCell ref="D79:E79"/>
    <mergeCell ref="F79:G79"/>
    <mergeCell ref="H79:J79"/>
    <mergeCell ref="K79:M79"/>
    <mergeCell ref="A80:C80"/>
    <mergeCell ref="D80:E80"/>
    <mergeCell ref="F80:G80"/>
    <mergeCell ref="H80:J80"/>
    <mergeCell ref="K80:M80"/>
    <mergeCell ref="A74:E74"/>
    <mergeCell ref="F74:M74"/>
    <mergeCell ref="A75:E75"/>
    <mergeCell ref="F75:M75"/>
    <mergeCell ref="A77:M77"/>
    <mergeCell ref="A78:C78"/>
    <mergeCell ref="D78:E78"/>
    <mergeCell ref="F78:G78"/>
    <mergeCell ref="H78:J78"/>
    <mergeCell ref="K78:M78"/>
    <mergeCell ref="A72:E72"/>
    <mergeCell ref="F72:G72"/>
    <mergeCell ref="H72:I72"/>
    <mergeCell ref="J72:K72"/>
    <mergeCell ref="L72:M72"/>
    <mergeCell ref="A73:E73"/>
    <mergeCell ref="F73:M73"/>
    <mergeCell ref="A70:E70"/>
    <mergeCell ref="F70:G70"/>
    <mergeCell ref="H70:I70"/>
    <mergeCell ref="J70:K70"/>
    <mergeCell ref="L70:M70"/>
    <mergeCell ref="A71:E71"/>
    <mergeCell ref="F71:G71"/>
    <mergeCell ref="H71:I71"/>
    <mergeCell ref="J71:K71"/>
    <mergeCell ref="L71:M71"/>
    <mergeCell ref="A68:E68"/>
    <mergeCell ref="F68:G68"/>
    <mergeCell ref="H68:I68"/>
    <mergeCell ref="J68:K68"/>
    <mergeCell ref="L68:M68"/>
    <mergeCell ref="A69:E69"/>
    <mergeCell ref="F69:G69"/>
    <mergeCell ref="H69:I69"/>
    <mergeCell ref="J69:K69"/>
    <mergeCell ref="L69:M69"/>
    <mergeCell ref="A66:M66"/>
    <mergeCell ref="A67:E67"/>
    <mergeCell ref="F67:G67"/>
    <mergeCell ref="H67:I67"/>
    <mergeCell ref="J67:K67"/>
    <mergeCell ref="L67:M67"/>
    <mergeCell ref="A62:G62"/>
    <mergeCell ref="H62:M62"/>
    <mergeCell ref="A63:G63"/>
    <mergeCell ref="H63:M63"/>
    <mergeCell ref="A64:G64"/>
    <mergeCell ref="H64:M64"/>
    <mergeCell ref="A59:G59"/>
    <mergeCell ref="H59:J59"/>
    <mergeCell ref="K59:M59"/>
    <mergeCell ref="A60:G60"/>
    <mergeCell ref="H60:M60"/>
    <mergeCell ref="A61:G61"/>
    <mergeCell ref="H61:M61"/>
    <mergeCell ref="A57:G57"/>
    <mergeCell ref="H57:J57"/>
    <mergeCell ref="K57:M57"/>
    <mergeCell ref="A58:G58"/>
    <mergeCell ref="H58:J58"/>
    <mergeCell ref="K58:M58"/>
    <mergeCell ref="A55:G55"/>
    <mergeCell ref="H55:J55"/>
    <mergeCell ref="K55:M55"/>
    <mergeCell ref="A56:G56"/>
    <mergeCell ref="H56:J56"/>
    <mergeCell ref="K56:M56"/>
    <mergeCell ref="A51:K51"/>
    <mergeCell ref="L51:M51"/>
    <mergeCell ref="A53:M53"/>
    <mergeCell ref="A54:G54"/>
    <mergeCell ref="H54:J54"/>
    <mergeCell ref="K54:M54"/>
    <mergeCell ref="A48:K48"/>
    <mergeCell ref="L48:M48"/>
    <mergeCell ref="A49:K49"/>
    <mergeCell ref="L49:M49"/>
    <mergeCell ref="A50:K50"/>
    <mergeCell ref="L50:M50"/>
    <mergeCell ref="L43:M43"/>
    <mergeCell ref="I44:K44"/>
    <mergeCell ref="L44:M44"/>
    <mergeCell ref="I45:K45"/>
    <mergeCell ref="L45:M45"/>
    <mergeCell ref="A47:K47"/>
    <mergeCell ref="L47:M47"/>
    <mergeCell ref="B39:G39"/>
    <mergeCell ref="A41:A45"/>
    <mergeCell ref="C41:G41"/>
    <mergeCell ref="B42:H45"/>
    <mergeCell ref="I42:K42"/>
    <mergeCell ref="I43:K43"/>
    <mergeCell ref="I35:K35"/>
    <mergeCell ref="I36:K36"/>
    <mergeCell ref="L36:M36"/>
    <mergeCell ref="I37:K37"/>
    <mergeCell ref="L37:M37"/>
    <mergeCell ref="I38:K38"/>
    <mergeCell ref="L38:M38"/>
    <mergeCell ref="C40:G40"/>
    <mergeCell ref="B23:H26"/>
    <mergeCell ref="I23:K23"/>
    <mergeCell ref="B27:G27"/>
    <mergeCell ref="A28:A38"/>
    <mergeCell ref="C28:G28"/>
    <mergeCell ref="C29:G29"/>
    <mergeCell ref="C30:G30"/>
    <mergeCell ref="C33:G33"/>
    <mergeCell ref="C34:G34"/>
    <mergeCell ref="B35:H38"/>
    <mergeCell ref="I24:K24"/>
    <mergeCell ref="B2:M2"/>
    <mergeCell ref="B3:M3"/>
    <mergeCell ref="A5:M5"/>
    <mergeCell ref="A6:M6"/>
    <mergeCell ref="A7:M7"/>
    <mergeCell ref="A8:C9"/>
    <mergeCell ref="D8:E9"/>
    <mergeCell ref="F8:G9"/>
    <mergeCell ref="H8:I8"/>
    <mergeCell ref="J8:K9"/>
    <mergeCell ref="B89:I89"/>
    <mergeCell ref="B90:I90"/>
    <mergeCell ref="B91:I91"/>
    <mergeCell ref="B92:I92"/>
    <mergeCell ref="L8:M9"/>
    <mergeCell ref="A10:C11"/>
    <mergeCell ref="D10:E11"/>
    <mergeCell ref="F10:G11"/>
    <mergeCell ref="J10:K11"/>
    <mergeCell ref="L10:M11"/>
    <mergeCell ref="H11:I11"/>
    <mergeCell ref="L24:M24"/>
    <mergeCell ref="I25:K25"/>
    <mergeCell ref="L25:M25"/>
    <mergeCell ref="I26:K26"/>
    <mergeCell ref="L26:M26"/>
    <mergeCell ref="B12:C12"/>
    <mergeCell ref="A13:M13"/>
    <mergeCell ref="B14:G14"/>
    <mergeCell ref="A15:A26"/>
    <mergeCell ref="C15:G15"/>
    <mergeCell ref="C16:G16"/>
    <mergeCell ref="C21:G21"/>
    <mergeCell ref="C22:G22"/>
  </mergeCells>
  <pageMargins left="0.25" right="0.25" top="0.75" bottom="0.75" header="0.2" footer="0.2"/>
  <pageSetup orientation="landscape" r:id="rId1"/>
  <headerFooter>
    <oddHeader>&amp;C2016 CCRPI Calculator
High Schools</oddHeader>
  </headerFooter>
  <rowBreaks count="5" manualBreakCount="5">
    <brk id="12" max="16383" man="1"/>
    <brk id="26" max="16383" man="1"/>
    <brk id="38" max="16383" man="1"/>
    <brk id="65" max="16383" man="1"/>
    <brk id="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119"/>
  <sheetViews>
    <sheetView workbookViewId="0">
      <selection activeCell="D61" sqref="D61"/>
    </sheetView>
  </sheetViews>
  <sheetFormatPr defaultColWidth="9.1796875" defaultRowHeight="14.5" x14ac:dyDescent="0.35"/>
  <cols>
    <col min="1" max="1" width="3.81640625" style="20" customWidth="1"/>
    <col min="2" max="2" width="39.81640625" style="20" bestFit="1" customWidth="1"/>
    <col min="3" max="13" width="12.1796875" style="20" customWidth="1"/>
    <col min="14" max="16384" width="9.1796875" style="20"/>
  </cols>
  <sheetData>
    <row r="1" spans="1:13" ht="18.5" x14ac:dyDescent="0.35">
      <c r="A1" s="91" t="s">
        <v>4</v>
      </c>
      <c r="B1" s="91"/>
      <c r="C1" s="91"/>
      <c r="D1" s="91"/>
      <c r="E1" s="91"/>
      <c r="F1" s="91"/>
      <c r="G1" s="91"/>
      <c r="H1" s="91"/>
      <c r="I1" s="91"/>
      <c r="J1" s="91"/>
      <c r="K1" s="91"/>
      <c r="L1" s="91"/>
      <c r="M1" s="91"/>
    </row>
    <row r="3" spans="1:13" ht="15.5" x14ac:dyDescent="0.35">
      <c r="A3" s="144" t="s">
        <v>19</v>
      </c>
      <c r="B3" s="144"/>
      <c r="C3" s="144"/>
      <c r="D3" s="144"/>
      <c r="E3" s="144"/>
      <c r="F3" s="144"/>
      <c r="G3" s="144"/>
      <c r="H3" s="144"/>
      <c r="I3" s="144"/>
      <c r="J3" s="144"/>
      <c r="K3" s="144"/>
      <c r="L3" s="144"/>
      <c r="M3" s="145"/>
    </row>
    <row r="4" spans="1:13" ht="30.75" customHeight="1" thickBot="1" x14ac:dyDescent="0.4">
      <c r="A4" s="159" t="s">
        <v>216</v>
      </c>
      <c r="B4" s="159"/>
      <c r="C4" s="159"/>
      <c r="D4" s="159"/>
      <c r="E4" s="159"/>
      <c r="F4" s="159"/>
      <c r="G4" s="160"/>
      <c r="H4" s="160"/>
      <c r="I4" s="160"/>
      <c r="J4" s="160"/>
      <c r="K4" s="159"/>
      <c r="L4" s="159"/>
      <c r="M4" s="23"/>
    </row>
    <row r="5" spans="1:13" s="21" customFormat="1" ht="44" thickBot="1" x14ac:dyDescent="0.4">
      <c r="A5" s="15"/>
      <c r="B5" s="15" t="s">
        <v>80</v>
      </c>
      <c r="C5" s="15" t="s">
        <v>82</v>
      </c>
      <c r="D5" s="15" t="s">
        <v>83</v>
      </c>
      <c r="E5" s="15" t="s">
        <v>81</v>
      </c>
      <c r="F5" s="33" t="s">
        <v>84</v>
      </c>
      <c r="G5" s="36" t="s">
        <v>85</v>
      </c>
      <c r="H5" s="37" t="s">
        <v>86</v>
      </c>
      <c r="I5" s="37" t="s">
        <v>87</v>
      </c>
      <c r="J5" s="38" t="s">
        <v>88</v>
      </c>
      <c r="K5" s="34" t="s">
        <v>107</v>
      </c>
      <c r="L5" s="15" t="s">
        <v>89</v>
      </c>
      <c r="M5" s="24"/>
    </row>
    <row r="6" spans="1:13" x14ac:dyDescent="0.35">
      <c r="A6" s="16">
        <v>1</v>
      </c>
      <c r="B6" s="16" t="s">
        <v>184</v>
      </c>
      <c r="C6" s="53"/>
      <c r="D6" s="53"/>
      <c r="E6" s="17" t="str">
        <f>IF(C6="","NA", IF(D6&gt;C6, "NA", IF(C6&lt;15,"TFS", ROUND((D6/C6)*100,3))))</f>
        <v>NA</v>
      </c>
      <c r="F6" s="53"/>
      <c r="G6" s="54"/>
      <c r="H6" s="54"/>
      <c r="I6" s="54"/>
      <c r="J6" s="54"/>
      <c r="K6" s="18">
        <f>G6*0.5+H6*1+I6*1+J6*1.5</f>
        <v>0</v>
      </c>
      <c r="L6" s="18" t="str">
        <f>IF(F6="", "NA", IF(F6=0, "NA", IF(F6&lt;15, "TFS", ROUND((K6/F6)*100,3))))</f>
        <v>NA</v>
      </c>
      <c r="M6" s="23"/>
    </row>
    <row r="7" spans="1:13" x14ac:dyDescent="0.35">
      <c r="A7" s="16">
        <v>2</v>
      </c>
      <c r="B7" s="16" t="s">
        <v>185</v>
      </c>
      <c r="C7" s="53"/>
      <c r="D7" s="53"/>
      <c r="E7" s="17" t="str">
        <f t="shared" ref="E7:E13" si="0">IF(C7="","NA", IF(D7&gt;C7, "NA", IF(C7&lt;15,"TFS", ROUND((D7/C7)*100,3))))</f>
        <v>NA</v>
      </c>
      <c r="F7" s="53"/>
      <c r="G7" s="53"/>
      <c r="H7" s="53"/>
      <c r="I7" s="53"/>
      <c r="J7" s="53"/>
      <c r="K7" s="18">
        <f t="shared" ref="K7:K13" si="1">G7*0.5+H7*1+I7*1+J7*1.5</f>
        <v>0</v>
      </c>
      <c r="L7" s="18" t="str">
        <f t="shared" ref="L7:L13" si="2">IF(F7="", "NA", IF(F7=0, "NA", IF(F7&lt;15, "TFS", ROUND((K7/F7)*100,3))))</f>
        <v>NA</v>
      </c>
      <c r="M7" s="23"/>
    </row>
    <row r="8" spans="1:13" x14ac:dyDescent="0.35">
      <c r="A8" s="16">
        <v>3</v>
      </c>
      <c r="B8" s="16" t="s">
        <v>186</v>
      </c>
      <c r="C8" s="53"/>
      <c r="D8" s="53"/>
      <c r="E8" s="17" t="str">
        <f t="shared" si="0"/>
        <v>NA</v>
      </c>
      <c r="F8" s="53"/>
      <c r="G8" s="53"/>
      <c r="H8" s="53"/>
      <c r="I8" s="53"/>
      <c r="J8" s="53"/>
      <c r="K8" s="18">
        <f t="shared" si="1"/>
        <v>0</v>
      </c>
      <c r="L8" s="18" t="str">
        <f t="shared" si="2"/>
        <v>NA</v>
      </c>
      <c r="M8" s="23"/>
    </row>
    <row r="9" spans="1:13" x14ac:dyDescent="0.35">
      <c r="A9" s="16">
        <v>4</v>
      </c>
      <c r="B9" s="16" t="s">
        <v>187</v>
      </c>
      <c r="C9" s="53"/>
      <c r="D9" s="53"/>
      <c r="E9" s="17" t="str">
        <f t="shared" ref="E9:E12" si="3">IF(C9="","NA", IF(D9&gt;C9, "NA", IF(C9&lt;15,"TFS", ROUND((D9/C9)*100,3))))</f>
        <v>NA</v>
      </c>
      <c r="F9" s="53"/>
      <c r="G9" s="53"/>
      <c r="H9" s="53"/>
      <c r="I9" s="53"/>
      <c r="J9" s="53"/>
      <c r="K9" s="18">
        <f t="shared" ref="K9:K12" si="4">G9*0.5+H9*1+I9*1+J9*1.5</f>
        <v>0</v>
      </c>
      <c r="L9" s="18" t="str">
        <f t="shared" ref="L9:L12" si="5">IF(F9="", "NA", IF(F9=0, "NA", IF(F9&lt;15, "TFS", ROUND((K9/F9)*100,3))))</f>
        <v>NA</v>
      </c>
      <c r="M9" s="23"/>
    </row>
    <row r="10" spans="1:13" x14ac:dyDescent="0.35">
      <c r="A10" s="16">
        <v>5</v>
      </c>
      <c r="B10" s="16" t="s">
        <v>188</v>
      </c>
      <c r="C10" s="53"/>
      <c r="D10" s="53"/>
      <c r="E10" s="17" t="str">
        <f t="shared" si="3"/>
        <v>NA</v>
      </c>
      <c r="F10" s="53"/>
      <c r="G10" s="53"/>
      <c r="H10" s="53"/>
      <c r="I10" s="53"/>
      <c r="J10" s="53"/>
      <c r="K10" s="18">
        <f t="shared" si="4"/>
        <v>0</v>
      </c>
      <c r="L10" s="18" t="str">
        <f t="shared" si="5"/>
        <v>NA</v>
      </c>
      <c r="M10" s="23"/>
    </row>
    <row r="11" spans="1:13" x14ac:dyDescent="0.35">
      <c r="A11" s="16">
        <v>6</v>
      </c>
      <c r="B11" s="16" t="s">
        <v>189</v>
      </c>
      <c r="C11" s="53"/>
      <c r="D11" s="53"/>
      <c r="E11" s="17" t="str">
        <f t="shared" si="3"/>
        <v>NA</v>
      </c>
      <c r="F11" s="53"/>
      <c r="G11" s="53"/>
      <c r="H11" s="53"/>
      <c r="I11" s="53"/>
      <c r="J11" s="53"/>
      <c r="K11" s="18">
        <f t="shared" si="4"/>
        <v>0</v>
      </c>
      <c r="L11" s="18" t="str">
        <f t="shared" si="5"/>
        <v>NA</v>
      </c>
      <c r="M11" s="23"/>
    </row>
    <row r="12" spans="1:13" x14ac:dyDescent="0.35">
      <c r="A12" s="16">
        <v>7</v>
      </c>
      <c r="B12" s="16" t="s">
        <v>190</v>
      </c>
      <c r="C12" s="53"/>
      <c r="D12" s="53"/>
      <c r="E12" s="17" t="str">
        <f t="shared" si="3"/>
        <v>NA</v>
      </c>
      <c r="F12" s="53"/>
      <c r="G12" s="53"/>
      <c r="H12" s="53"/>
      <c r="I12" s="53"/>
      <c r="J12" s="53"/>
      <c r="K12" s="18">
        <f t="shared" si="4"/>
        <v>0</v>
      </c>
      <c r="L12" s="18" t="str">
        <f t="shared" si="5"/>
        <v>NA</v>
      </c>
      <c r="M12" s="23"/>
    </row>
    <row r="13" spans="1:13" x14ac:dyDescent="0.35">
      <c r="A13" s="16">
        <v>8</v>
      </c>
      <c r="B13" s="16" t="s">
        <v>191</v>
      </c>
      <c r="C13" s="53"/>
      <c r="D13" s="53"/>
      <c r="E13" s="17" t="str">
        <f t="shared" si="0"/>
        <v>NA</v>
      </c>
      <c r="F13" s="53"/>
      <c r="G13" s="53"/>
      <c r="H13" s="53"/>
      <c r="I13" s="53"/>
      <c r="J13" s="53"/>
      <c r="K13" s="18">
        <f t="shared" si="1"/>
        <v>0</v>
      </c>
      <c r="L13" s="18" t="str">
        <f t="shared" si="2"/>
        <v>NA</v>
      </c>
      <c r="M13" s="23"/>
    </row>
    <row r="14" spans="1:13" x14ac:dyDescent="0.35">
      <c r="A14" s="25"/>
      <c r="B14" s="25"/>
      <c r="C14" s="25"/>
      <c r="D14" s="25"/>
      <c r="E14" s="25"/>
      <c r="F14" s="25"/>
      <c r="G14" s="25"/>
      <c r="H14" s="25"/>
      <c r="I14" s="25"/>
      <c r="J14" s="25"/>
      <c r="K14" s="25"/>
      <c r="L14" s="25"/>
    </row>
    <row r="15" spans="1:13" ht="15.5" x14ac:dyDescent="0.35">
      <c r="A15" s="144" t="s">
        <v>192</v>
      </c>
      <c r="B15" s="144"/>
      <c r="C15" s="144"/>
      <c r="D15" s="144"/>
      <c r="E15" s="144"/>
      <c r="F15" s="144"/>
      <c r="G15" s="144"/>
      <c r="H15" s="145"/>
      <c r="I15" s="145"/>
      <c r="J15" s="145"/>
      <c r="K15" s="145"/>
      <c r="L15" s="145"/>
      <c r="M15" s="145"/>
    </row>
    <row r="16" spans="1:13" ht="15" thickBot="1" x14ac:dyDescent="0.4">
      <c r="A16" s="146" t="s">
        <v>200</v>
      </c>
      <c r="B16" s="146"/>
      <c r="C16" s="146"/>
      <c r="D16" s="147"/>
      <c r="E16" s="146"/>
      <c r="F16" s="146"/>
      <c r="G16" s="146"/>
      <c r="H16" s="26"/>
    </row>
    <row r="17" spans="1:9" ht="87.5" thickBot="1" x14ac:dyDescent="0.4">
      <c r="A17" s="27"/>
      <c r="B17" s="27"/>
      <c r="C17" s="33" t="s">
        <v>202</v>
      </c>
      <c r="D17" s="19" t="s">
        <v>204</v>
      </c>
      <c r="E17" s="34" t="s">
        <v>203</v>
      </c>
      <c r="F17" s="15" t="s">
        <v>150</v>
      </c>
      <c r="G17" s="15" t="s">
        <v>71</v>
      </c>
    </row>
    <row r="18" spans="1:9" x14ac:dyDescent="0.35">
      <c r="A18" s="16">
        <v>9</v>
      </c>
      <c r="B18" s="28" t="s">
        <v>201</v>
      </c>
      <c r="C18" s="53"/>
      <c r="D18" s="54"/>
      <c r="E18" s="43">
        <f>C18-D18</f>
        <v>0</v>
      </c>
      <c r="F18" s="53"/>
      <c r="G18" s="18" t="str">
        <f>IF(E18="","NA",IF(E18=0,"NA",IF(E18&lt;15,"TFS",IF(F18="","NA",IF(F18&gt;E18,"NA",ROUND((F18/E18)*100,3))))))</f>
        <v>NA</v>
      </c>
    </row>
    <row r="19" spans="1:9" x14ac:dyDescent="0.35">
      <c r="A19" s="29"/>
      <c r="B19" s="29"/>
      <c r="C19" s="29"/>
      <c r="D19" s="29"/>
      <c r="E19" s="29"/>
      <c r="F19" s="25"/>
      <c r="G19" s="25"/>
    </row>
    <row r="20" spans="1:9" x14ac:dyDescent="0.35">
      <c r="A20" s="146" t="s">
        <v>205</v>
      </c>
      <c r="B20" s="146"/>
      <c r="C20" s="146"/>
      <c r="D20" s="147"/>
      <c r="E20" s="146"/>
      <c r="F20" s="26"/>
      <c r="G20" s="22"/>
      <c r="H20" s="22"/>
    </row>
    <row r="21" spans="1:9" ht="58" x14ac:dyDescent="0.35">
      <c r="A21" s="27"/>
      <c r="B21" s="27"/>
      <c r="C21" s="15" t="s">
        <v>208</v>
      </c>
      <c r="D21" s="15" t="s">
        <v>150</v>
      </c>
      <c r="E21" s="15" t="s">
        <v>71</v>
      </c>
      <c r="F21" s="23"/>
    </row>
    <row r="22" spans="1:9" x14ac:dyDescent="0.35">
      <c r="A22" s="16">
        <v>10</v>
      </c>
      <c r="B22" s="28" t="s">
        <v>207</v>
      </c>
      <c r="C22" s="53"/>
      <c r="D22" s="53"/>
      <c r="E22" s="18" t="str">
        <f>IF(C22="","NA",IF(C22=0,"NA",IF(C22&lt;15,"TFS",IF(D22="","NA",IF(D22&gt;C22,"NA",ROUND((D22/C22)*100,3))))))</f>
        <v>NA</v>
      </c>
      <c r="F22" s="23"/>
    </row>
    <row r="23" spans="1:9" x14ac:dyDescent="0.35">
      <c r="A23" s="29"/>
      <c r="B23" s="29"/>
      <c r="C23" s="29"/>
      <c r="D23" s="29"/>
      <c r="E23" s="29"/>
      <c r="F23" s="30"/>
    </row>
    <row r="24" spans="1:9" x14ac:dyDescent="0.35">
      <c r="A24" s="141" t="s">
        <v>210</v>
      </c>
      <c r="B24" s="142"/>
      <c r="C24" s="142"/>
      <c r="D24" s="142"/>
      <c r="E24" s="143"/>
      <c r="F24" s="23"/>
    </row>
    <row r="25" spans="1:9" ht="43.5" x14ac:dyDescent="0.35">
      <c r="A25" s="27"/>
      <c r="B25" s="27"/>
      <c r="C25" s="33" t="s">
        <v>202</v>
      </c>
      <c r="D25" s="15" t="s">
        <v>150</v>
      </c>
      <c r="E25" s="15" t="s">
        <v>71</v>
      </c>
      <c r="F25" s="23"/>
    </row>
    <row r="26" spans="1:9" x14ac:dyDescent="0.35">
      <c r="A26" s="16">
        <v>11</v>
      </c>
      <c r="B26" s="28" t="s">
        <v>209</v>
      </c>
      <c r="C26" s="53"/>
      <c r="D26" s="53"/>
      <c r="E26" s="18" t="str">
        <f>IF(C26="","NA",IF(C26=0,"NA",IF(C26&lt;15,"TFS",IF(D26="","NA",IF(D26&gt;C26,"NA",ROUND((D26/C26)*100,3))))))</f>
        <v>NA</v>
      </c>
      <c r="F26" s="23"/>
    </row>
    <row r="27" spans="1:9" x14ac:dyDescent="0.35">
      <c r="A27" s="29"/>
      <c r="B27" s="29"/>
      <c r="C27" s="29"/>
      <c r="D27" s="29"/>
      <c r="E27" s="29"/>
      <c r="F27" s="29"/>
      <c r="G27" s="30"/>
      <c r="H27" s="30"/>
      <c r="I27" s="30"/>
    </row>
    <row r="28" spans="1:9" x14ac:dyDescent="0.35">
      <c r="A28" s="146" t="s">
        <v>212</v>
      </c>
      <c r="B28" s="146"/>
      <c r="C28" s="147"/>
      <c r="D28" s="146"/>
      <c r="E28" s="146"/>
      <c r="F28" s="23"/>
    </row>
    <row r="29" spans="1:9" ht="43.5" x14ac:dyDescent="0.35">
      <c r="A29" s="27"/>
      <c r="B29" s="74"/>
      <c r="C29" s="33" t="s">
        <v>202</v>
      </c>
      <c r="D29" s="15" t="s">
        <v>150</v>
      </c>
      <c r="E29" s="15" t="s">
        <v>71</v>
      </c>
      <c r="F29" s="23"/>
    </row>
    <row r="30" spans="1:9" x14ac:dyDescent="0.35">
      <c r="A30" s="16">
        <v>12</v>
      </c>
      <c r="B30" s="28" t="s">
        <v>211</v>
      </c>
      <c r="C30" s="53"/>
      <c r="D30" s="53"/>
      <c r="E30" s="18" t="str">
        <f>IF(C30="","NA",IF(C30=0,"NA",IF(C30&lt;15,"TFS",IF(D30="","NA",IF(D30&gt;C30,"NA",ROUND((D30/C30)*100,3))))))</f>
        <v>NA</v>
      </c>
      <c r="F30" s="23"/>
    </row>
    <row r="31" spans="1:9" x14ac:dyDescent="0.35">
      <c r="A31" s="29"/>
      <c r="B31" s="31"/>
      <c r="C31" s="29"/>
      <c r="D31" s="29"/>
      <c r="E31" s="29"/>
      <c r="F31" s="25"/>
      <c r="G31" s="25"/>
    </row>
    <row r="32" spans="1:9" x14ac:dyDescent="0.35">
      <c r="A32" s="146" t="s">
        <v>213</v>
      </c>
      <c r="B32" s="146"/>
      <c r="C32" s="147"/>
      <c r="D32" s="146"/>
      <c r="E32" s="146"/>
      <c r="F32" s="80"/>
    </row>
    <row r="33" spans="1:14" ht="72.5" x14ac:dyDescent="0.35">
      <c r="A33" s="27"/>
      <c r="B33" s="74"/>
      <c r="C33" s="15" t="s">
        <v>114</v>
      </c>
      <c r="D33" s="15" t="s">
        <v>215</v>
      </c>
      <c r="E33" s="15" t="s">
        <v>71</v>
      </c>
      <c r="F33" s="80"/>
    </row>
    <row r="34" spans="1:14" x14ac:dyDescent="0.35">
      <c r="A34" s="16">
        <v>13</v>
      </c>
      <c r="B34" s="28" t="s">
        <v>214</v>
      </c>
      <c r="C34" s="53"/>
      <c r="D34" s="53"/>
      <c r="E34" s="18" t="str">
        <f>IF(C34="","NA",IF(C34=0,"NA",IF(C34&lt;15,"TFS",IF(D34="","NA",IF(D34&gt;C34,"NA",ROUND((D34/C34)*100,3))))))</f>
        <v>NA</v>
      </c>
      <c r="F34" s="80"/>
    </row>
    <row r="35" spans="1:14" x14ac:dyDescent="0.35">
      <c r="A35" s="79"/>
      <c r="B35" s="83"/>
      <c r="C35" s="81"/>
      <c r="D35" s="81"/>
      <c r="E35" s="81"/>
      <c r="F35" s="82"/>
    </row>
    <row r="36" spans="1:14" ht="30.75" customHeight="1" x14ac:dyDescent="0.35">
      <c r="A36" s="161" t="s">
        <v>216</v>
      </c>
      <c r="B36" s="162"/>
      <c r="C36" s="162"/>
      <c r="D36" s="162"/>
      <c r="E36" s="162"/>
      <c r="F36" s="162"/>
      <c r="G36" s="162"/>
      <c r="H36" s="162"/>
      <c r="I36" s="162"/>
      <c r="J36" s="162"/>
      <c r="K36" s="162"/>
      <c r="L36" s="162"/>
      <c r="M36" s="163"/>
      <c r="N36" s="23"/>
    </row>
    <row r="37" spans="1:14" ht="15" thickBot="1" x14ac:dyDescent="0.4">
      <c r="A37" s="16"/>
      <c r="B37" s="16"/>
      <c r="C37" s="150" t="s">
        <v>218</v>
      </c>
      <c r="D37" s="151"/>
      <c r="E37" s="150" t="s">
        <v>219</v>
      </c>
      <c r="F37" s="151"/>
      <c r="G37" s="150" t="s">
        <v>186</v>
      </c>
      <c r="H37" s="151"/>
      <c r="I37" s="150" t="s">
        <v>187</v>
      </c>
      <c r="J37" s="151"/>
      <c r="K37" s="23"/>
    </row>
    <row r="38" spans="1:14" ht="44" thickBot="1" x14ac:dyDescent="0.4">
      <c r="A38" s="27"/>
      <c r="B38" s="27"/>
      <c r="C38" s="33" t="s">
        <v>84</v>
      </c>
      <c r="D38" s="19" t="s">
        <v>99</v>
      </c>
      <c r="E38" s="35" t="s">
        <v>84</v>
      </c>
      <c r="F38" s="19" t="s">
        <v>99</v>
      </c>
      <c r="G38" s="35" t="s">
        <v>84</v>
      </c>
      <c r="H38" s="19" t="s">
        <v>99</v>
      </c>
      <c r="I38" s="35" t="s">
        <v>84</v>
      </c>
      <c r="J38" s="19" t="s">
        <v>99</v>
      </c>
      <c r="K38" s="23"/>
    </row>
    <row r="39" spans="1:14" x14ac:dyDescent="0.35">
      <c r="A39" s="16">
        <v>14</v>
      </c>
      <c r="B39" s="16" t="s">
        <v>123</v>
      </c>
      <c r="C39" s="53"/>
      <c r="D39" s="54"/>
      <c r="E39" s="53"/>
      <c r="F39" s="54"/>
      <c r="G39" s="53"/>
      <c r="H39" s="54"/>
      <c r="I39" s="53"/>
      <c r="J39" s="54"/>
      <c r="K39" s="23"/>
    </row>
    <row r="40" spans="1:14" ht="15" thickBot="1" x14ac:dyDescent="0.4">
      <c r="A40" s="79"/>
      <c r="B40" s="88"/>
      <c r="C40" s="150" t="s">
        <v>188</v>
      </c>
      <c r="D40" s="151"/>
      <c r="E40" s="150" t="s">
        <v>189</v>
      </c>
      <c r="F40" s="151"/>
      <c r="G40" s="150" t="s">
        <v>190</v>
      </c>
      <c r="H40" s="151"/>
      <c r="I40" s="150" t="s">
        <v>191</v>
      </c>
      <c r="J40" s="151"/>
    </row>
    <row r="41" spans="1:14" ht="44" thickBot="1" x14ac:dyDescent="0.4">
      <c r="A41" s="23"/>
      <c r="B41" s="87"/>
      <c r="C41" s="33" t="s">
        <v>84</v>
      </c>
      <c r="D41" s="19" t="s">
        <v>99</v>
      </c>
      <c r="E41" s="35" t="s">
        <v>84</v>
      </c>
      <c r="F41" s="19" t="s">
        <v>99</v>
      </c>
      <c r="G41" s="35" t="s">
        <v>84</v>
      </c>
      <c r="H41" s="19" t="s">
        <v>99</v>
      </c>
      <c r="I41" s="35" t="s">
        <v>84</v>
      </c>
      <c r="J41" s="19" t="s">
        <v>99</v>
      </c>
      <c r="K41" s="34" t="s">
        <v>124</v>
      </c>
      <c r="L41" s="15" t="s">
        <v>125</v>
      </c>
      <c r="M41" s="15" t="s">
        <v>71</v>
      </c>
    </row>
    <row r="42" spans="1:14" x14ac:dyDescent="0.35">
      <c r="A42" s="23"/>
      <c r="B42" s="86"/>
      <c r="C42" s="53"/>
      <c r="D42" s="54"/>
      <c r="E42" s="53"/>
      <c r="F42" s="54"/>
      <c r="G42" s="53"/>
      <c r="H42" s="54"/>
      <c r="I42" s="53"/>
      <c r="J42" s="54"/>
      <c r="K42" s="18">
        <f>C39+E39+G39+I39+C42+E42+G42+I42</f>
        <v>0</v>
      </c>
      <c r="L42" s="18">
        <f>D39+F39+H39+J39+D42+F42+H42+J42</f>
        <v>0</v>
      </c>
      <c r="M42" s="18" t="str">
        <f>IF(K42="","NA",IF(K42=0,"NA",IF(K42&lt;15,"TFS",IF(L42="","NA",IF(L42&gt;K42,"NA",ROUND((L42/K42)*100,3))))))</f>
        <v>NA</v>
      </c>
    </row>
    <row r="43" spans="1:14" ht="15" thickBot="1" x14ac:dyDescent="0.4">
      <c r="A43" s="79"/>
      <c r="B43" s="85"/>
      <c r="C43" s="81"/>
      <c r="D43" s="81"/>
      <c r="E43" s="81"/>
      <c r="F43" s="60"/>
    </row>
    <row r="44" spans="1:14" ht="15" thickBot="1" x14ac:dyDescent="0.4">
      <c r="A44" s="149" t="s">
        <v>122</v>
      </c>
      <c r="B44" s="148"/>
      <c r="C44" s="148"/>
      <c r="D44" s="148"/>
      <c r="E44" s="148"/>
      <c r="F44" s="61"/>
      <c r="G44" s="23"/>
    </row>
    <row r="45" spans="1:14" ht="29.5" thickBot="1" x14ac:dyDescent="0.4">
      <c r="A45" s="27"/>
      <c r="B45" s="32"/>
      <c r="C45" s="15" t="s">
        <v>105</v>
      </c>
      <c r="D45" s="15" t="s">
        <v>106</v>
      </c>
      <c r="E45" s="15" t="s">
        <v>71</v>
      </c>
      <c r="F45" s="59"/>
      <c r="G45" s="23"/>
    </row>
    <row r="46" spans="1:14" ht="15" thickBot="1" x14ac:dyDescent="0.4">
      <c r="A46" s="16">
        <v>15</v>
      </c>
      <c r="B46" s="28" t="s">
        <v>94</v>
      </c>
      <c r="C46" s="53"/>
      <c r="D46" s="53"/>
      <c r="E46" s="18" t="str">
        <f>IF(C46="","NA",IF(C46=0,"NA",IF(C46&lt;15,"TFS",IF(D46="","NA",IF(D46&gt;C46,"NA",ROUND((D46/C46)*100,3))))))</f>
        <v>NA</v>
      </c>
      <c r="F46" s="59"/>
      <c r="G46" s="23"/>
    </row>
    <row r="47" spans="1:14" x14ac:dyDescent="0.35">
      <c r="A47" s="25"/>
      <c r="B47" s="25"/>
      <c r="C47" s="25"/>
      <c r="D47" s="25"/>
      <c r="E47" s="25"/>
      <c r="F47" s="25"/>
    </row>
    <row r="48" spans="1:14" ht="15.5" x14ac:dyDescent="0.35">
      <c r="A48" s="144" t="s">
        <v>217</v>
      </c>
      <c r="B48" s="144"/>
      <c r="C48" s="144"/>
      <c r="D48" s="144"/>
      <c r="E48" s="144"/>
      <c r="F48" s="144"/>
      <c r="G48" s="144"/>
      <c r="H48" s="144"/>
      <c r="I48" s="144"/>
      <c r="J48" s="144"/>
      <c r="K48" s="144"/>
      <c r="L48" s="144"/>
      <c r="M48" s="144"/>
    </row>
    <row r="49" spans="1:13" x14ac:dyDescent="0.35">
      <c r="A49" s="149" t="s">
        <v>222</v>
      </c>
      <c r="B49" s="148"/>
      <c r="C49" s="148"/>
      <c r="D49" s="148"/>
      <c r="E49" s="148"/>
    </row>
    <row r="50" spans="1:13" ht="116" x14ac:dyDescent="0.35">
      <c r="A50" s="27"/>
      <c r="B50" s="32"/>
      <c r="C50" s="15" t="s">
        <v>224</v>
      </c>
      <c r="D50" s="15" t="s">
        <v>225</v>
      </c>
      <c r="E50" s="15" t="s">
        <v>71</v>
      </c>
    </row>
    <row r="51" spans="1:13" x14ac:dyDescent="0.35">
      <c r="A51" s="16">
        <v>16</v>
      </c>
      <c r="B51" s="28" t="s">
        <v>223</v>
      </c>
      <c r="C51" s="53"/>
      <c r="D51" s="53"/>
      <c r="E51" s="18" t="str">
        <f>IF(C51="","NA",IF(C51=0,"NA",IF(C51&lt;15,"TFS",IF(D51="","NA",IF(D51&gt;C51,"NA",ROUND((D51/C51)*100,3))))))</f>
        <v>NA</v>
      </c>
    </row>
    <row r="52" spans="1:13" x14ac:dyDescent="0.35">
      <c r="A52" s="25"/>
      <c r="B52" s="25"/>
      <c r="C52" s="25"/>
      <c r="D52" s="25"/>
      <c r="E52" s="25"/>
      <c r="F52" s="25"/>
      <c r="G52" s="25"/>
      <c r="H52" s="25"/>
      <c r="I52" s="25"/>
      <c r="J52" s="25"/>
      <c r="K52" s="25"/>
      <c r="L52" s="25"/>
      <c r="M52" s="25"/>
    </row>
    <row r="53" spans="1:13" x14ac:dyDescent="0.35">
      <c r="A53" s="149" t="s">
        <v>222</v>
      </c>
      <c r="B53" s="148"/>
      <c r="C53" s="148"/>
      <c r="D53" s="148"/>
      <c r="E53" s="148"/>
      <c r="F53" s="25"/>
      <c r="G53" s="25"/>
      <c r="H53" s="25"/>
      <c r="I53" s="25"/>
      <c r="J53" s="25"/>
      <c r="K53" s="25"/>
      <c r="L53" s="25"/>
      <c r="M53" s="25"/>
    </row>
    <row r="54" spans="1:13" ht="116" x14ac:dyDescent="0.35">
      <c r="A54" s="27"/>
      <c r="B54" s="32"/>
      <c r="C54" s="15" t="s">
        <v>227</v>
      </c>
      <c r="D54" s="15" t="s">
        <v>228</v>
      </c>
      <c r="E54" s="15" t="s">
        <v>71</v>
      </c>
      <c r="F54" s="25"/>
      <c r="G54" s="25"/>
      <c r="H54" s="25"/>
      <c r="I54" s="25"/>
      <c r="J54" s="25"/>
      <c r="K54" s="25"/>
      <c r="L54" s="25"/>
      <c r="M54" s="25"/>
    </row>
    <row r="55" spans="1:13" x14ac:dyDescent="0.35">
      <c r="A55" s="16">
        <v>17</v>
      </c>
      <c r="B55" s="28" t="s">
        <v>226</v>
      </c>
      <c r="C55" s="53"/>
      <c r="D55" s="53"/>
      <c r="E55" s="18" t="str">
        <f>IF(C55="","NA",IF(C55=0,"NA",IF(C55&lt;15,"TFS",IF(D55="","NA",IF(D55&gt;C55,"NA",ROUND((D55/C55)*100,3))))))</f>
        <v>NA</v>
      </c>
      <c r="F55" s="25"/>
      <c r="G55" s="25"/>
      <c r="H55" s="25"/>
      <c r="I55" s="25"/>
      <c r="J55" s="25"/>
      <c r="K55" s="25"/>
      <c r="L55" s="25"/>
      <c r="M55" s="25"/>
    </row>
    <row r="57" spans="1:13" ht="18.5" x14ac:dyDescent="0.35">
      <c r="A57" s="152" t="s">
        <v>5</v>
      </c>
      <c r="B57" s="152"/>
      <c r="C57" s="152"/>
      <c r="D57" s="152"/>
      <c r="E57" s="152"/>
      <c r="F57" s="152"/>
      <c r="G57" s="152"/>
      <c r="H57" s="152"/>
      <c r="I57" s="152"/>
      <c r="J57" s="152"/>
      <c r="K57" s="152"/>
      <c r="L57" s="152"/>
      <c r="M57" s="152"/>
    </row>
    <row r="58" spans="1:13" x14ac:dyDescent="0.35">
      <c r="A58" s="138" t="s">
        <v>126</v>
      </c>
      <c r="B58" s="139"/>
      <c r="C58" s="139"/>
      <c r="D58" s="139"/>
      <c r="E58" s="139"/>
      <c r="F58" s="139"/>
      <c r="G58" s="139"/>
      <c r="H58" s="139"/>
      <c r="I58" s="139"/>
      <c r="J58" s="140"/>
      <c r="K58" s="23"/>
    </row>
    <row r="59" spans="1:13" ht="31.5" customHeight="1" thickBot="1" x14ac:dyDescent="0.4">
      <c r="A59" s="16"/>
      <c r="B59" s="16"/>
      <c r="C59" s="153" t="s">
        <v>128</v>
      </c>
      <c r="D59" s="154"/>
      <c r="E59" s="153" t="s">
        <v>129</v>
      </c>
      <c r="F59" s="154"/>
      <c r="G59" s="153" t="s">
        <v>130</v>
      </c>
      <c r="H59" s="154"/>
      <c r="I59" s="153" t="s">
        <v>131</v>
      </c>
      <c r="J59" s="154"/>
    </row>
    <row r="60" spans="1:13" ht="58.5" thickBot="1" x14ac:dyDescent="0.4">
      <c r="A60" s="27"/>
      <c r="B60" s="27"/>
      <c r="C60" s="33" t="s">
        <v>84</v>
      </c>
      <c r="D60" s="19" t="s">
        <v>127</v>
      </c>
      <c r="E60" s="33" t="s">
        <v>84</v>
      </c>
      <c r="F60" s="19" t="s">
        <v>127</v>
      </c>
      <c r="G60" s="33" t="s">
        <v>84</v>
      </c>
      <c r="H60" s="19" t="s">
        <v>127</v>
      </c>
      <c r="I60" s="33" t="s">
        <v>84</v>
      </c>
      <c r="J60" s="19" t="s">
        <v>127</v>
      </c>
    </row>
    <row r="61" spans="1:13" x14ac:dyDescent="0.35">
      <c r="A61" s="16"/>
      <c r="B61" s="16" t="s">
        <v>5</v>
      </c>
      <c r="C61" s="53"/>
      <c r="D61" s="54"/>
      <c r="E61" s="53"/>
      <c r="F61" s="54"/>
      <c r="G61" s="53"/>
      <c r="H61" s="54"/>
      <c r="I61" s="53"/>
      <c r="J61" s="54"/>
    </row>
    <row r="63" spans="1:13" ht="18.5" x14ac:dyDescent="0.35">
      <c r="A63" s="152" t="s">
        <v>6</v>
      </c>
      <c r="B63" s="152"/>
      <c r="C63" s="152"/>
      <c r="D63" s="152"/>
      <c r="E63" s="152"/>
      <c r="F63" s="152"/>
      <c r="G63" s="152"/>
      <c r="H63" s="152"/>
      <c r="I63" s="152"/>
      <c r="J63" s="152"/>
      <c r="K63" s="152"/>
      <c r="L63" s="152"/>
      <c r="M63" s="152"/>
    </row>
    <row r="64" spans="1:13" x14ac:dyDescent="0.35">
      <c r="A64" s="138" t="s">
        <v>132</v>
      </c>
      <c r="B64" s="139"/>
      <c r="C64" s="139"/>
      <c r="D64" s="139"/>
      <c r="E64" s="139"/>
      <c r="F64" s="139"/>
      <c r="G64" s="139"/>
      <c r="H64" s="139"/>
      <c r="I64" s="139"/>
      <c r="J64" s="139"/>
      <c r="K64" s="140"/>
      <c r="L64" s="23"/>
    </row>
    <row r="65" spans="1:13" s="41" customFormat="1" ht="87" x14ac:dyDescent="0.35">
      <c r="A65" s="40"/>
      <c r="B65" s="40"/>
      <c r="C65" s="73" t="s">
        <v>84</v>
      </c>
      <c r="D65" s="73" t="s">
        <v>137</v>
      </c>
      <c r="E65" s="73" t="s">
        <v>133</v>
      </c>
      <c r="F65" s="73" t="s">
        <v>134</v>
      </c>
      <c r="G65" s="73" t="s">
        <v>52</v>
      </c>
      <c r="H65" s="73" t="s">
        <v>135</v>
      </c>
      <c r="I65" s="73" t="s">
        <v>138</v>
      </c>
      <c r="J65" s="73" t="s">
        <v>139</v>
      </c>
      <c r="K65" s="73" t="s">
        <v>136</v>
      </c>
      <c r="L65" s="42"/>
    </row>
    <row r="66" spans="1:13" x14ac:dyDescent="0.35">
      <c r="A66" s="16"/>
      <c r="B66" s="16" t="s">
        <v>256</v>
      </c>
      <c r="C66" s="53"/>
      <c r="D66" s="55"/>
      <c r="E66" s="53"/>
      <c r="F66" s="18">
        <v>0</v>
      </c>
      <c r="G66" s="18" t="str">
        <f>IF(E66="","NA",(IF(D66="","NA",IF(D66&lt;15,"TFS",ROUND(F66-E66,2)))))</f>
        <v>NA</v>
      </c>
      <c r="H66" s="18" t="str">
        <f>IF(G66="NA","NA", IF(G66="TFS", "TFS", IF(G66&gt;=1.2, 0, IF(AND(G66&gt;=0.9, G66&lt;=1.19), 1, IF(AND(G66&gt;=0.5, G66&lt;=0.89), 2, IF(G66&lt;0.5, 3, ""))))))</f>
        <v>NA</v>
      </c>
      <c r="I66" s="55"/>
      <c r="J66" s="55"/>
      <c r="K66" s="43" t="str">
        <f>IF(J66="","NA", IF(I66&lt;15, "TFS", IF(J66&lt;35, 0, IF(AND(J66&gt;=35, J66&lt;50), 1, IF(AND(J66&gt;=50, J66&lt;=65), 2, 3)))))</f>
        <v>NA</v>
      </c>
      <c r="L66" s="23"/>
    </row>
    <row r="67" spans="1:13" x14ac:dyDescent="0.35">
      <c r="A67" s="16"/>
      <c r="B67" s="16" t="s">
        <v>257</v>
      </c>
      <c r="C67" s="53"/>
      <c r="D67" s="55"/>
      <c r="E67" s="53"/>
      <c r="F67" s="18">
        <v>0</v>
      </c>
      <c r="G67" s="18" t="str">
        <f t="shared" ref="G67:G69" si="6">IF(E67="","NA",(IF(D67="","NA",IF(D67&lt;15,"TFS",ROUND(F67-E67,2)))))</f>
        <v>NA</v>
      </c>
      <c r="H67" s="18" t="str">
        <f>IF(G67="NA","NA", IF(G67="TFS", "TFS", IF(G67&gt;=1.2, 0, IF(AND(G67&gt;=0.9, G67&lt;=1.19), 1, IF(AND(G67&gt;=0.5, G67&lt;=0.89), 2, IF(G67&lt;0.5, 3, ""))))))</f>
        <v>NA</v>
      </c>
      <c r="I67" s="55"/>
      <c r="J67" s="55"/>
      <c r="K67" s="43" t="str">
        <f>IF(J67="","NA", IF(I67&lt;15, "TFS", IF(J67&lt;35, 0, IF(AND(J67&gt;=35, J67&lt;50), 1, IF(AND(J67&gt;=50, J67&lt;=65), 2, 3)))))</f>
        <v>NA</v>
      </c>
      <c r="L67" s="23"/>
    </row>
    <row r="68" spans="1:13" x14ac:dyDescent="0.35">
      <c r="A68" s="16"/>
      <c r="B68" s="16" t="s">
        <v>258</v>
      </c>
      <c r="C68" s="53"/>
      <c r="D68" s="55"/>
      <c r="E68" s="53"/>
      <c r="F68" s="18">
        <v>0</v>
      </c>
      <c r="G68" s="18" t="str">
        <f t="shared" si="6"/>
        <v>NA</v>
      </c>
      <c r="H68" s="18" t="str">
        <f>IF(G68="NA","NA", IF(G68="TFS", "TFS", IF(G68&gt;=1.2, 0, IF(AND(G68&gt;=0.9, G68&lt;=1.19), 1, IF(AND(G68&gt;=0.5, G68&lt;=0.89), 2, IF(G68&lt;0.5, 3, ""))))))</f>
        <v>NA</v>
      </c>
      <c r="I68" s="55"/>
      <c r="J68" s="55"/>
      <c r="K68" s="43" t="str">
        <f>IF(J68="","NA", IF(I68&lt;15, "TFS", IF(J68&lt;35, 0, IF(AND(J68&gt;=35, J68&lt;50), 1, IF(AND(J68&gt;=50, J68&lt;=65), 2, 3)))))</f>
        <v>NA</v>
      </c>
      <c r="L68" s="23"/>
    </row>
    <row r="69" spans="1:13" x14ac:dyDescent="0.35">
      <c r="A69" s="16"/>
      <c r="B69" s="16" t="s">
        <v>259</v>
      </c>
      <c r="C69" s="53"/>
      <c r="D69" s="55"/>
      <c r="E69" s="53"/>
      <c r="F69" s="18">
        <v>0</v>
      </c>
      <c r="G69" s="18" t="str">
        <f t="shared" si="6"/>
        <v>NA</v>
      </c>
      <c r="H69" s="18" t="str">
        <f>IF(G69="NA","NA", IF(G69="TFS", "TFS", IF(G69&gt;=1.2, 0, IF(AND(G69&gt;=0.9, G69&lt;=1.19), 1, IF(AND(G69&gt;=0.5, G69&lt;=0.89), 2, IF(G69&lt;0.5, 3, ""))))))</f>
        <v>NA</v>
      </c>
      <c r="I69" s="55"/>
      <c r="J69" s="55"/>
      <c r="K69" s="43" t="str">
        <f>IF(J69="","NA", IF(I69&lt;15, "TFS", IF(J69&lt;35, 0, IF(AND(J69&gt;=35, J69&lt;50), 1, IF(AND(J69&gt;=50, J69&lt;=65), 2, 3)))))</f>
        <v>NA</v>
      </c>
      <c r="L69" s="23"/>
    </row>
    <row r="70" spans="1:13" x14ac:dyDescent="0.35">
      <c r="A70" s="25"/>
      <c r="B70" s="25"/>
      <c r="C70" s="25"/>
      <c r="D70" s="25"/>
      <c r="E70" s="25"/>
      <c r="F70" s="25"/>
      <c r="G70" s="25"/>
      <c r="H70" s="25"/>
      <c r="I70" s="25"/>
      <c r="J70" s="25"/>
      <c r="K70" s="44"/>
    </row>
    <row r="71" spans="1:13" ht="18.5" x14ac:dyDescent="0.35">
      <c r="A71" s="152" t="s">
        <v>10</v>
      </c>
      <c r="B71" s="152"/>
      <c r="C71" s="152"/>
      <c r="D71" s="152"/>
      <c r="E71" s="152"/>
      <c r="F71" s="152"/>
      <c r="G71" s="152"/>
      <c r="H71" s="152"/>
      <c r="I71" s="152"/>
      <c r="J71" s="152"/>
      <c r="K71" s="152"/>
      <c r="L71" s="152"/>
      <c r="M71" s="152"/>
    </row>
    <row r="72" spans="1:13" ht="15" thickBot="1" x14ac:dyDescent="0.4">
      <c r="A72" s="155" t="s">
        <v>109</v>
      </c>
      <c r="B72" s="156"/>
      <c r="C72" s="156"/>
      <c r="D72" s="156"/>
      <c r="E72" s="156"/>
      <c r="F72" s="157"/>
    </row>
    <row r="73" spans="1:13" ht="131" thickBot="1" x14ac:dyDescent="0.4">
      <c r="A73" s="27"/>
      <c r="B73" s="27"/>
      <c r="C73" s="15" t="s">
        <v>84</v>
      </c>
      <c r="D73" s="19" t="s">
        <v>140</v>
      </c>
      <c r="E73" s="23"/>
      <c r="H73" s="15" t="s">
        <v>64</v>
      </c>
      <c r="I73" s="15" t="s">
        <v>141</v>
      </c>
    </row>
    <row r="74" spans="1:13" x14ac:dyDescent="0.35">
      <c r="A74" s="16"/>
      <c r="B74" s="16" t="s">
        <v>79</v>
      </c>
      <c r="C74" s="53"/>
      <c r="D74" s="53"/>
      <c r="E74" s="23"/>
      <c r="H74" s="55"/>
      <c r="I74" s="55"/>
    </row>
    <row r="75" spans="1:13" x14ac:dyDescent="0.35">
      <c r="A75" s="16"/>
      <c r="B75" s="16" t="s">
        <v>45</v>
      </c>
      <c r="C75" s="53"/>
      <c r="D75" s="53"/>
      <c r="E75" s="23"/>
      <c r="H75" s="50"/>
      <c r="I75" s="50"/>
    </row>
    <row r="76" spans="1:13" x14ac:dyDescent="0.35">
      <c r="A76" s="16"/>
      <c r="B76" s="16" t="s">
        <v>46</v>
      </c>
      <c r="C76" s="53"/>
      <c r="D76" s="53"/>
      <c r="E76" s="23"/>
    </row>
    <row r="77" spans="1:13" x14ac:dyDescent="0.35">
      <c r="A77" s="16"/>
      <c r="B77" s="16" t="s">
        <v>47</v>
      </c>
      <c r="C77" s="53"/>
      <c r="D77" s="53"/>
      <c r="E77" s="23"/>
    </row>
    <row r="78" spans="1:13" x14ac:dyDescent="0.35">
      <c r="A78" s="16"/>
      <c r="B78" s="45" t="s">
        <v>48</v>
      </c>
      <c r="C78" s="18">
        <f>SUM(C74:C77)</f>
        <v>0</v>
      </c>
      <c r="D78" s="18">
        <f>SUM(D74:D77)</f>
        <v>0</v>
      </c>
      <c r="E78" s="23"/>
    </row>
    <row r="79" spans="1:13" x14ac:dyDescent="0.35">
      <c r="A79" s="25"/>
      <c r="B79" s="25"/>
      <c r="C79" s="25"/>
      <c r="D79" s="29"/>
    </row>
    <row r="80" spans="1:13" ht="18.5" x14ac:dyDescent="0.35">
      <c r="A80" s="152" t="s">
        <v>11</v>
      </c>
      <c r="B80" s="152"/>
      <c r="C80" s="152"/>
      <c r="D80" s="152"/>
      <c r="E80" s="152"/>
      <c r="F80" s="152"/>
      <c r="G80" s="152"/>
      <c r="H80" s="152"/>
      <c r="I80" s="152"/>
      <c r="J80" s="152"/>
      <c r="K80" s="152"/>
      <c r="L80" s="152"/>
      <c r="M80" s="152"/>
    </row>
    <row r="81" spans="1:5" x14ac:dyDescent="0.35">
      <c r="A81" s="149" t="s">
        <v>238</v>
      </c>
      <c r="B81" s="148"/>
      <c r="C81" s="148"/>
      <c r="D81" s="148"/>
      <c r="E81" s="164"/>
    </row>
    <row r="82" spans="1:5" ht="43.5" x14ac:dyDescent="0.35">
      <c r="A82" s="27"/>
      <c r="B82" s="27"/>
      <c r="C82" s="33" t="s">
        <v>202</v>
      </c>
      <c r="D82" s="15" t="s">
        <v>150</v>
      </c>
      <c r="E82" s="15" t="s">
        <v>71</v>
      </c>
    </row>
    <row r="83" spans="1:5" x14ac:dyDescent="0.35">
      <c r="A83" s="16">
        <v>1</v>
      </c>
      <c r="B83" s="28" t="s">
        <v>236</v>
      </c>
      <c r="C83" s="53"/>
      <c r="D83" s="53"/>
      <c r="E83" s="18" t="str">
        <f>IF(C83="","NA",IF(C83=0,"NA",IF(C83&lt;15,"TFS",IF(D83="","NA",IF(D83&gt;C83,"NA",ROUND((D83/C83)*100,3))))))</f>
        <v>NA</v>
      </c>
    </row>
    <row r="85" spans="1:5" x14ac:dyDescent="0.35">
      <c r="A85" s="146" t="s">
        <v>239</v>
      </c>
      <c r="B85" s="146"/>
      <c r="C85" s="146"/>
      <c r="D85" s="147"/>
      <c r="E85" s="146"/>
    </row>
    <row r="86" spans="1:5" ht="116" x14ac:dyDescent="0.35">
      <c r="A86" s="27"/>
      <c r="B86" s="27"/>
      <c r="C86" s="33" t="s">
        <v>240</v>
      </c>
      <c r="D86" s="15" t="s">
        <v>150</v>
      </c>
      <c r="E86" s="34" t="s">
        <v>71</v>
      </c>
    </row>
    <row r="87" spans="1:5" x14ac:dyDescent="0.35">
      <c r="A87" s="16">
        <v>2</v>
      </c>
      <c r="B87" s="28" t="s">
        <v>237</v>
      </c>
      <c r="C87" s="53"/>
      <c r="D87" s="54"/>
      <c r="E87" s="18" t="str">
        <f>IF(C87="","NA",IF(C87=0,"NA",IF(C87&lt;15,"TFS",IF(D87="","NA",IF(D87&gt;C87,"NA",ROUND((D87/C87)*100,3))))))</f>
        <v>NA</v>
      </c>
    </row>
    <row r="88" spans="1:5" x14ac:dyDescent="0.35">
      <c r="A88" s="30"/>
      <c r="B88" s="30"/>
      <c r="C88" s="30"/>
      <c r="D88" s="30"/>
    </row>
    <row r="89" spans="1:5" x14ac:dyDescent="0.35">
      <c r="A89" s="146" t="s">
        <v>243</v>
      </c>
      <c r="B89" s="146"/>
      <c r="C89" s="146"/>
      <c r="D89" s="147"/>
      <c r="E89" s="146"/>
    </row>
    <row r="90" spans="1:5" ht="101.5" x14ac:dyDescent="0.35">
      <c r="A90" s="27"/>
      <c r="B90" s="27"/>
      <c r="C90" s="33" t="s">
        <v>242</v>
      </c>
      <c r="D90" s="15" t="s">
        <v>150</v>
      </c>
      <c r="E90" s="34" t="s">
        <v>71</v>
      </c>
    </row>
    <row r="91" spans="1:5" x14ac:dyDescent="0.35">
      <c r="A91" s="16">
        <v>3</v>
      </c>
      <c r="B91" s="28" t="s">
        <v>241</v>
      </c>
      <c r="C91" s="53"/>
      <c r="D91" s="54"/>
      <c r="E91" s="18" t="str">
        <f>IF(C91="","NA",IF(C91=0,"NA",IF(C91&lt;15,"TFS",IF(D91="","NA",IF(D91&gt;C91,"NA",ROUND((D91/C91)*100,3))))))</f>
        <v>NA</v>
      </c>
    </row>
    <row r="93" spans="1:5" x14ac:dyDescent="0.35">
      <c r="A93" s="158" t="s">
        <v>159</v>
      </c>
      <c r="B93" s="158"/>
      <c r="C93" s="158"/>
      <c r="D93" s="158"/>
      <c r="E93" s="23"/>
    </row>
    <row r="94" spans="1:5" ht="29" x14ac:dyDescent="0.35">
      <c r="A94" s="27"/>
      <c r="B94" s="27"/>
      <c r="C94" s="15" t="s">
        <v>157</v>
      </c>
      <c r="D94" s="34" t="s">
        <v>71</v>
      </c>
    </row>
    <row r="95" spans="1:5" x14ac:dyDescent="0.35">
      <c r="A95" s="16">
        <v>4</v>
      </c>
      <c r="B95" s="28" t="s">
        <v>156</v>
      </c>
      <c r="C95" s="53"/>
      <c r="D95" s="18" t="str">
        <f>IF(C95="Y",C95,IF(C95="N","N","NA"))</f>
        <v>NA</v>
      </c>
    </row>
    <row r="96" spans="1:5" x14ac:dyDescent="0.35">
      <c r="A96" s="30"/>
      <c r="B96" s="30"/>
      <c r="C96" s="30"/>
      <c r="D96" s="30"/>
    </row>
    <row r="97" spans="1:5" x14ac:dyDescent="0.35">
      <c r="A97" s="146" t="s">
        <v>110</v>
      </c>
      <c r="B97" s="146"/>
      <c r="C97" s="146"/>
      <c r="D97" s="146"/>
      <c r="E97" s="146"/>
    </row>
    <row r="98" spans="1:5" ht="87" x14ac:dyDescent="0.35">
      <c r="A98" s="27"/>
      <c r="B98" s="27"/>
      <c r="C98" s="15" t="s">
        <v>101</v>
      </c>
      <c r="D98" s="15" t="s">
        <v>102</v>
      </c>
      <c r="E98" s="15" t="s">
        <v>71</v>
      </c>
    </row>
    <row r="99" spans="1:5" x14ac:dyDescent="0.35">
      <c r="A99" s="16">
        <v>5</v>
      </c>
      <c r="B99" s="28" t="s">
        <v>90</v>
      </c>
      <c r="C99" s="53"/>
      <c r="D99" s="53"/>
      <c r="E99" s="18" t="str">
        <f>IF(C99="","NA",IF(C99=0,"NA",IF(C99&lt;15,"TFS",IF(D99="","NA",IF(D99&gt;C99,"NA",ROUND((D99/C99)*100,3))))))</f>
        <v>NA</v>
      </c>
    </row>
    <row r="100" spans="1:5" x14ac:dyDescent="0.35">
      <c r="A100" s="79"/>
      <c r="B100" s="81"/>
      <c r="C100" s="84"/>
      <c r="D100" s="79"/>
      <c r="E100" s="84"/>
    </row>
    <row r="101" spans="1:5" x14ac:dyDescent="0.35">
      <c r="A101" s="146" t="s">
        <v>244</v>
      </c>
      <c r="B101" s="146"/>
      <c r="C101" s="146"/>
      <c r="D101" s="147"/>
      <c r="E101" s="146"/>
    </row>
    <row r="102" spans="1:5" ht="43.5" x14ac:dyDescent="0.35">
      <c r="A102" s="27"/>
      <c r="B102" s="27"/>
      <c r="C102" s="33" t="s">
        <v>202</v>
      </c>
      <c r="D102" s="15" t="s">
        <v>150</v>
      </c>
      <c r="E102" s="34" t="s">
        <v>71</v>
      </c>
    </row>
    <row r="103" spans="1:5" x14ac:dyDescent="0.35">
      <c r="A103" s="16">
        <v>6</v>
      </c>
      <c r="B103" s="28" t="s">
        <v>245</v>
      </c>
      <c r="C103" s="53"/>
      <c r="D103" s="54"/>
      <c r="E103" s="18" t="str">
        <f>IF(C103="","NA",IF(C103=0,"NA",IF(C103&lt;15,"TFS",IF(D103="","NA",IF(D103&gt;C103,"NA",ROUND((D103/C103)*100,3))))))</f>
        <v>NA</v>
      </c>
    </row>
    <row r="104" spans="1:5" x14ac:dyDescent="0.35">
      <c r="A104" s="79"/>
      <c r="B104" s="84"/>
      <c r="C104" s="84"/>
      <c r="D104" s="84"/>
      <c r="E104" s="84"/>
    </row>
    <row r="105" spans="1:5" x14ac:dyDescent="0.35">
      <c r="A105" s="146" t="s">
        <v>246</v>
      </c>
      <c r="B105" s="146"/>
      <c r="C105" s="146"/>
      <c r="D105" s="147"/>
      <c r="E105" s="146"/>
    </row>
    <row r="106" spans="1:5" ht="43.5" x14ac:dyDescent="0.35">
      <c r="A106" s="27"/>
      <c r="B106" s="27"/>
      <c r="C106" s="33" t="s">
        <v>202</v>
      </c>
      <c r="D106" s="15" t="s">
        <v>150</v>
      </c>
      <c r="E106" s="34" t="s">
        <v>71</v>
      </c>
    </row>
    <row r="107" spans="1:5" x14ac:dyDescent="0.35">
      <c r="A107" s="16">
        <v>7</v>
      </c>
      <c r="B107" s="28" t="s">
        <v>247</v>
      </c>
      <c r="C107" s="53"/>
      <c r="D107" s="54"/>
      <c r="E107" s="18" t="str">
        <f>IF(C107="","NA",IF(C107=0,"NA",IF(C107&lt;15,"TFS",IF(D107="","NA",IF(D107&gt;C107,"NA",ROUND((D107/C107)*100,3))))))</f>
        <v>NA</v>
      </c>
    </row>
    <row r="108" spans="1:5" x14ac:dyDescent="0.35">
      <c r="A108" s="79"/>
      <c r="B108" s="84"/>
      <c r="C108" s="84"/>
      <c r="D108" s="81"/>
      <c r="E108" s="23"/>
    </row>
    <row r="109" spans="1:5" x14ac:dyDescent="0.35">
      <c r="A109" s="158" t="s">
        <v>159</v>
      </c>
      <c r="B109" s="158"/>
      <c r="C109" s="158"/>
      <c r="D109" s="158"/>
      <c r="E109" s="23"/>
    </row>
    <row r="110" spans="1:5" ht="29" x14ac:dyDescent="0.35">
      <c r="A110" s="27"/>
      <c r="B110" s="27"/>
      <c r="C110" s="15" t="s">
        <v>157</v>
      </c>
      <c r="D110" s="34" t="s">
        <v>71</v>
      </c>
    </row>
    <row r="111" spans="1:5" x14ac:dyDescent="0.35">
      <c r="A111" s="16">
        <v>8</v>
      </c>
      <c r="B111" s="28" t="s">
        <v>158</v>
      </c>
      <c r="C111" s="53"/>
      <c r="D111" s="18" t="str">
        <f>IF(C111="Y",C111,IF(C111="N","N","NA"))</f>
        <v>NA</v>
      </c>
    </row>
    <row r="112" spans="1:5" x14ac:dyDescent="0.35">
      <c r="A112" s="30"/>
      <c r="B112" s="30"/>
      <c r="C112" s="30"/>
      <c r="D112" s="30"/>
    </row>
    <row r="113" spans="1:5" x14ac:dyDescent="0.35">
      <c r="A113" s="158" t="s">
        <v>159</v>
      </c>
      <c r="B113" s="158"/>
      <c r="C113" s="158"/>
      <c r="D113" s="158"/>
      <c r="E113" s="23"/>
    </row>
    <row r="114" spans="1:5" ht="29" x14ac:dyDescent="0.35">
      <c r="A114" s="27"/>
      <c r="B114" s="27"/>
      <c r="C114" s="15" t="s">
        <v>157</v>
      </c>
      <c r="D114" s="34" t="s">
        <v>71</v>
      </c>
    </row>
    <row r="115" spans="1:5" x14ac:dyDescent="0.35">
      <c r="A115" s="16">
        <v>9</v>
      </c>
      <c r="B115" s="28" t="s">
        <v>160</v>
      </c>
      <c r="C115" s="53"/>
      <c r="D115" s="18" t="str">
        <f>IF(C115="Y",C115,IF(C115="N","N","NA"))</f>
        <v>NA</v>
      </c>
    </row>
    <row r="116" spans="1:5" x14ac:dyDescent="0.35">
      <c r="A116" s="30"/>
      <c r="B116" s="30"/>
      <c r="C116" s="30"/>
      <c r="D116" s="30"/>
    </row>
    <row r="117" spans="1:5" x14ac:dyDescent="0.35">
      <c r="A117" s="158" t="s">
        <v>159</v>
      </c>
      <c r="B117" s="158"/>
      <c r="C117" s="158"/>
      <c r="D117" s="158"/>
      <c r="E117" s="23"/>
    </row>
    <row r="118" spans="1:5" ht="29" x14ac:dyDescent="0.35">
      <c r="A118" s="27"/>
      <c r="B118" s="27"/>
      <c r="C118" s="15" t="s">
        <v>157</v>
      </c>
      <c r="D118" s="34" t="s">
        <v>71</v>
      </c>
    </row>
    <row r="119" spans="1:5" x14ac:dyDescent="0.35">
      <c r="A119" s="16">
        <v>10</v>
      </c>
      <c r="B119" s="28" t="s">
        <v>161</v>
      </c>
      <c r="C119" s="53"/>
      <c r="D119" s="18" t="str">
        <f>IF(C119="Y",C119,IF(C119="N","N","NA"))</f>
        <v>NA</v>
      </c>
    </row>
  </sheetData>
  <sheetProtection sheet="1" objects="1" scenarios="1" selectLockedCells="1"/>
  <mergeCells count="43">
    <mergeCell ref="A109:D109"/>
    <mergeCell ref="A113:D113"/>
    <mergeCell ref="A117:D117"/>
    <mergeCell ref="A105:E105"/>
    <mergeCell ref="A49:E49"/>
    <mergeCell ref="A81:E81"/>
    <mergeCell ref="A57:M57"/>
    <mergeCell ref="A58:J58"/>
    <mergeCell ref="C59:D59"/>
    <mergeCell ref="E59:F59"/>
    <mergeCell ref="G59:H59"/>
    <mergeCell ref="I59:J59"/>
    <mergeCell ref="A63:M63"/>
    <mergeCell ref="A64:K64"/>
    <mergeCell ref="A71:M71"/>
    <mergeCell ref="A72:F72"/>
    <mergeCell ref="A80:M80"/>
    <mergeCell ref="A44:E44"/>
    <mergeCell ref="A48:M48"/>
    <mergeCell ref="E37:F37"/>
    <mergeCell ref="G37:H37"/>
    <mergeCell ref="I37:J37"/>
    <mergeCell ref="C40:D40"/>
    <mergeCell ref="E40:F40"/>
    <mergeCell ref="G40:H40"/>
    <mergeCell ref="I40:J40"/>
    <mergeCell ref="A53:E53"/>
    <mergeCell ref="A24:E24"/>
    <mergeCell ref="A32:E32"/>
    <mergeCell ref="A36:M36"/>
    <mergeCell ref="C37:D37"/>
    <mergeCell ref="A28:E28"/>
    <mergeCell ref="A1:M1"/>
    <mergeCell ref="A3:M3"/>
    <mergeCell ref="A4:L4"/>
    <mergeCell ref="A15:M15"/>
    <mergeCell ref="A20:E20"/>
    <mergeCell ref="A16:G16"/>
    <mergeCell ref="A89:E89"/>
    <mergeCell ref="A93:D93"/>
    <mergeCell ref="A97:E97"/>
    <mergeCell ref="A101:E101"/>
    <mergeCell ref="A85:E8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ge_x0020_SubHeader xmlns="a8154bc8-bb35-436d-b945-514ee68a8c9c" xsi:nil="true"/>
    <TaxCatchAll xmlns="1d496aed-39d0-4758-b3cf-4e4773287716"/>
    <Page xmlns="a8154bc8-bb35-436d-b945-514ee68a8c9c"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80DFEA50CB0046BF2C0AFF3BC331DC" ma:contentTypeVersion="3" ma:contentTypeDescription="Create a new document." ma:contentTypeScope="" ma:versionID="0cadb92d231df2ce954facbb2d031983">
  <xsd:schema xmlns:xsd="http://www.w3.org/2001/XMLSchema" xmlns:xs="http://www.w3.org/2001/XMLSchema" xmlns:p="http://schemas.microsoft.com/office/2006/metadata/properties" xmlns:ns1="http://schemas.microsoft.com/sharepoint/v3" xmlns:ns2="1d496aed-39d0-4758-b3cf-4e4773287716" xmlns:ns3="a8154bc8-bb35-436d-b945-514ee68a8c9c" targetNamespace="http://schemas.microsoft.com/office/2006/metadata/properties" ma:root="true" ma:fieldsID="2814648aa2b789ed3376a8db4e54eb95" ns1:_="" ns2:_="" ns3:_="">
    <xsd:import namespace="http://schemas.microsoft.com/sharepoint/v3"/>
    <xsd:import namespace="1d496aed-39d0-4758-b3cf-4e4773287716"/>
    <xsd:import namespace="a8154bc8-bb35-436d-b945-514ee68a8c9c"/>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154bc8-bb35-436d-b945-514ee68a8c9c" elementFormDefault="qualified">
    <xsd:import namespace="http://schemas.microsoft.com/office/2006/documentManagement/types"/>
    <xsd:import namespace="http://schemas.microsoft.com/office/infopath/2007/PartnerControls"/>
    <xsd:element name="Page" ma:index="12" nillable="true" ma:displayName="Page" ma:list="{1ca1c6eb-ac07-461a-b586-9a100c01952f}" ma:internalName="Page" ma:web="3dce0f95-ae0d-4318-9a7a-6e6e5d30cbaf">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AD194E-B24E-4670-BB1D-FA6F06E28DD1}"/>
</file>

<file path=customXml/itemProps2.xml><?xml version="1.0" encoding="utf-8"?>
<ds:datastoreItem xmlns:ds="http://schemas.openxmlformats.org/officeDocument/2006/customXml" ds:itemID="{8F7A2885-3BC8-4B47-A9F8-2D701E23B0F5}"/>
</file>

<file path=customXml/itemProps3.xml><?xml version="1.0" encoding="utf-8"?>
<ds:datastoreItem xmlns:ds="http://schemas.openxmlformats.org/officeDocument/2006/customXml" ds:itemID="{40F67DD5-EB57-4446-A00E-DDC83B4446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ES - Scoring</vt:lpstr>
      <vt:lpstr>ES - Detail</vt:lpstr>
      <vt:lpstr>MS - Scoring</vt:lpstr>
      <vt:lpstr>MS - Detail</vt:lpstr>
      <vt:lpstr>HS - Scoring</vt:lpstr>
      <vt:lpstr>HS - Detail</vt:lpstr>
    </vt:vector>
  </TitlesOfParts>
  <Company>GADOE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GaDOE</cp:lastModifiedBy>
  <cp:lastPrinted>2016-11-16T18:38:53Z</cp:lastPrinted>
  <dcterms:created xsi:type="dcterms:W3CDTF">2016-03-15T15:23:16Z</dcterms:created>
  <dcterms:modified xsi:type="dcterms:W3CDTF">2016-11-28T18:08:21Z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0x010100BA80DFEA50CB0046BF2C0AFF3BC331DC</vt:lpwstr>
  </property>
</Properties>
</file>